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ronnieflynn/Desktop/"/>
    </mc:Choice>
  </mc:AlternateContent>
  <xr:revisionPtr revIDLastSave="0" documentId="8_{C637826D-BCB0-BC4E-89D7-A3DBA797B8FD}" xr6:coauthVersionLast="47" xr6:coauthVersionMax="47" xr10:uidLastSave="{00000000-0000-0000-0000-000000000000}"/>
  <bookViews>
    <workbookView xWindow="0" yWindow="500" windowWidth="27660" windowHeight="17420" tabRatio="771" xr2:uid="{00000000-000D-0000-FFFF-FFFF00000000}"/>
  </bookViews>
  <sheets>
    <sheet name="1) Introducton" sheetId="52" r:id="rId1"/>
    <sheet name="2) Assumptions" sheetId="28" r:id="rId2"/>
    <sheet name="3) Projected Sales Forecast" sheetId="22" r:id="rId3"/>
    <sheet name="4) Operating Expenses" sheetId="2" r:id="rId4"/>
    <sheet name="5) Amortization of PPE" sheetId="21" r:id="rId5"/>
    <sheet name="6) Capital " sheetId="51" r:id="rId6"/>
    <sheet name="7) Summary Sources of Funding" sheetId="40" r:id="rId7"/>
    <sheet name="8) Opening Balance Sheet" sheetId="53" state="hidden" r:id="rId8"/>
    <sheet name="9) WACC" sheetId="50" r:id="rId9"/>
    <sheet name="Income Statement" sheetId="36" r:id="rId10"/>
    <sheet name="Balance Sheet" sheetId="37" r:id="rId11"/>
    <sheet name="Cash Flow" sheetId="38" r:id="rId12"/>
    <sheet name="Financial Highlights" sheetId="43" r:id="rId13"/>
    <sheet name="Use of Funds" sheetId="54" r:id="rId14"/>
    <sheet name="Sensitivity Analysis" sheetId="45" r:id="rId15"/>
    <sheet name="Break Even Analysis" sheetId="27" r:id="rId16"/>
    <sheet name="Ratio Analysis" sheetId="39" r:id="rId17"/>
    <sheet name="Loan Amortization Schedule" sheetId="42" state="hidden" r:id="rId18"/>
    <sheet name="Valuation" sheetId="46" r:id="rId19"/>
    <sheet name="IRR" sheetId="49" r:id="rId20"/>
  </sheets>
  <definedNames>
    <definedName name="_xlnm.Print_Titles" localSheetId="2">'3) Projected Sales Forecast'!$1:$1</definedName>
    <definedName name="_xlnm.Print_Titles" localSheetId="3">'4) Operating Expenses'!$1:$1</definedName>
    <definedName name="_xlnm.Print_Titles" localSheetId="4">'5) Amortization of PPE'!$1:$1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9" i="22" l="1"/>
  <c r="K38" i="22"/>
  <c r="J14" i="22"/>
  <c r="J29" i="22"/>
  <c r="K29" i="22" s="1"/>
  <c r="J44" i="22"/>
  <c r="K44" i="22" s="1"/>
  <c r="K23" i="22"/>
  <c r="L23" i="22" s="1"/>
  <c r="J60" i="22"/>
  <c r="J61" i="22" s="1"/>
  <c r="I60" i="22"/>
  <c r="K59" i="22"/>
  <c r="J57" i="22"/>
  <c r="K55" i="22"/>
  <c r="L55" i="22" s="1"/>
  <c r="K53" i="22"/>
  <c r="K60" i="22" s="1"/>
  <c r="L52" i="22"/>
  <c r="M52" i="22" s="1"/>
  <c r="N52" i="22" s="1"/>
  <c r="O52" i="22" s="1"/>
  <c r="P52" i="22" s="1"/>
  <c r="Q52" i="22" s="1"/>
  <c r="R52" i="22" s="1"/>
  <c r="S52" i="22" s="1"/>
  <c r="T52" i="22" s="1"/>
  <c r="U52" i="22" s="1"/>
  <c r="V52" i="22" s="1"/>
  <c r="W52" i="22" s="1"/>
  <c r="X52" i="22" s="1"/>
  <c r="Y52" i="22" s="1"/>
  <c r="Z52" i="22" s="1"/>
  <c r="AA52" i="22" s="1"/>
  <c r="AB52" i="22" s="1"/>
  <c r="AC52" i="22" s="1"/>
  <c r="AD52" i="22" s="1"/>
  <c r="AE52" i="22" s="1"/>
  <c r="AF52" i="22" s="1"/>
  <c r="AG52" i="22" s="1"/>
  <c r="AH52" i="22" s="1"/>
  <c r="AI52" i="22" s="1"/>
  <c r="AJ52" i="22" s="1"/>
  <c r="AK52" i="22" s="1"/>
  <c r="AL52" i="22" s="1"/>
  <c r="AM52" i="22" s="1"/>
  <c r="AN52" i="22" s="1"/>
  <c r="AO52" i="22" s="1"/>
  <c r="AP52" i="22" s="1"/>
  <c r="AQ52" i="22" s="1"/>
  <c r="AR52" i="22" s="1"/>
  <c r="AS52" i="22" s="1"/>
  <c r="AT52" i="22" s="1"/>
  <c r="AU52" i="22" s="1"/>
  <c r="AV52" i="22" s="1"/>
  <c r="AW52" i="22" s="1"/>
  <c r="AX52" i="22" s="1"/>
  <c r="AY52" i="22" s="1"/>
  <c r="AZ52" i="22" s="1"/>
  <c r="BA52" i="22" s="1"/>
  <c r="BB52" i="22" s="1"/>
  <c r="BC52" i="22" s="1"/>
  <c r="BD52" i="22" s="1"/>
  <c r="BE52" i="22" s="1"/>
  <c r="BF52" i="22" s="1"/>
  <c r="BG52" i="22" s="1"/>
  <c r="BH52" i="22" s="1"/>
  <c r="BI52" i="22" s="1"/>
  <c r="BJ52" i="22" s="1"/>
  <c r="BK52" i="22" s="1"/>
  <c r="BL52" i="22" s="1"/>
  <c r="BM52" i="22" s="1"/>
  <c r="BN52" i="22" s="1"/>
  <c r="BO52" i="22" s="1"/>
  <c r="BP52" i="22" s="1"/>
  <c r="BQ52" i="22" s="1"/>
  <c r="BQ51" i="22"/>
  <c r="BP51" i="22"/>
  <c r="BO51" i="22"/>
  <c r="BN51" i="22"/>
  <c r="BM51" i="22"/>
  <c r="BL51" i="22"/>
  <c r="BK51" i="22"/>
  <c r="BJ51" i="22"/>
  <c r="BI51" i="22"/>
  <c r="BH51" i="22"/>
  <c r="BG51" i="22"/>
  <c r="BF51" i="22"/>
  <c r="BE51" i="22"/>
  <c r="BD51" i="22"/>
  <c r="BC51" i="22"/>
  <c r="BB51" i="22"/>
  <c r="BA51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BF50" i="22"/>
  <c r="AT50" i="22"/>
  <c r="AH50" i="22"/>
  <c r="V50" i="22"/>
  <c r="J50" i="22"/>
  <c r="C50" i="22"/>
  <c r="D50" i="22" s="1"/>
  <c r="E50" i="22" s="1"/>
  <c r="F50" i="22" s="1"/>
  <c r="G50" i="22" s="1"/>
  <c r="J45" i="22"/>
  <c r="I45" i="22"/>
  <c r="J42" i="22"/>
  <c r="K40" i="22"/>
  <c r="L40" i="22" s="1"/>
  <c r="L37" i="22"/>
  <c r="M37" i="22" s="1"/>
  <c r="N37" i="22" s="1"/>
  <c r="O37" i="22" s="1"/>
  <c r="P37" i="22" s="1"/>
  <c r="Q37" i="22" s="1"/>
  <c r="R37" i="22" s="1"/>
  <c r="S37" i="22" s="1"/>
  <c r="T37" i="22" s="1"/>
  <c r="U37" i="22" s="1"/>
  <c r="V37" i="22" s="1"/>
  <c r="W37" i="22" s="1"/>
  <c r="X37" i="22" s="1"/>
  <c r="Y37" i="22" s="1"/>
  <c r="Z37" i="22" s="1"/>
  <c r="AA37" i="22" s="1"/>
  <c r="AB37" i="22" s="1"/>
  <c r="AC37" i="22" s="1"/>
  <c r="AD37" i="22" s="1"/>
  <c r="AE37" i="22" s="1"/>
  <c r="AF37" i="22" s="1"/>
  <c r="AG37" i="22" s="1"/>
  <c r="AH37" i="22" s="1"/>
  <c r="AI37" i="22" s="1"/>
  <c r="AJ37" i="22" s="1"/>
  <c r="AK37" i="22" s="1"/>
  <c r="AL37" i="22" s="1"/>
  <c r="AM37" i="22" s="1"/>
  <c r="AN37" i="22" s="1"/>
  <c r="AO37" i="22" s="1"/>
  <c r="AP37" i="22" s="1"/>
  <c r="AQ37" i="22" s="1"/>
  <c r="AR37" i="22" s="1"/>
  <c r="AS37" i="22" s="1"/>
  <c r="AT37" i="22" s="1"/>
  <c r="AU37" i="22" s="1"/>
  <c r="AV37" i="22" s="1"/>
  <c r="AW37" i="22" s="1"/>
  <c r="AX37" i="22" s="1"/>
  <c r="AY37" i="22" s="1"/>
  <c r="AZ37" i="22" s="1"/>
  <c r="BA37" i="22" s="1"/>
  <c r="BB37" i="22" s="1"/>
  <c r="BC37" i="22" s="1"/>
  <c r="BD37" i="22" s="1"/>
  <c r="BE37" i="22" s="1"/>
  <c r="BF37" i="22" s="1"/>
  <c r="BG37" i="22" s="1"/>
  <c r="BH37" i="22" s="1"/>
  <c r="BI37" i="22" s="1"/>
  <c r="BJ37" i="22" s="1"/>
  <c r="BK37" i="22" s="1"/>
  <c r="BL37" i="22" s="1"/>
  <c r="BM37" i="22" s="1"/>
  <c r="BN37" i="22" s="1"/>
  <c r="BO37" i="22" s="1"/>
  <c r="BP37" i="22" s="1"/>
  <c r="BQ37" i="22" s="1"/>
  <c r="BQ36" i="22"/>
  <c r="BP36" i="22"/>
  <c r="BO36" i="22"/>
  <c r="BN36" i="22"/>
  <c r="BM36" i="22"/>
  <c r="BL36" i="22"/>
  <c r="BK36" i="22"/>
  <c r="BJ36" i="22"/>
  <c r="BI36" i="22"/>
  <c r="BH36" i="22"/>
  <c r="BG36" i="22"/>
  <c r="BF36" i="22"/>
  <c r="BE36" i="22"/>
  <c r="BD36" i="22"/>
  <c r="BC36" i="22"/>
  <c r="BB36" i="22"/>
  <c r="BA36" i="22"/>
  <c r="AZ36" i="22"/>
  <c r="AY36" i="22"/>
  <c r="AX36" i="22"/>
  <c r="AW36" i="22"/>
  <c r="AV36" i="22"/>
  <c r="AU36" i="22"/>
  <c r="AT36" i="22"/>
  <c r="AS36" i="22"/>
  <c r="AR36" i="22"/>
  <c r="AQ36" i="22"/>
  <c r="AP36" i="22"/>
  <c r="AO36" i="22"/>
  <c r="AN36" i="22"/>
  <c r="AM36" i="22"/>
  <c r="AL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BF35" i="22"/>
  <c r="AT35" i="22"/>
  <c r="AH35" i="22"/>
  <c r="V35" i="22"/>
  <c r="J35" i="22"/>
  <c r="C35" i="22"/>
  <c r="D35" i="22" s="1"/>
  <c r="E35" i="22" s="1"/>
  <c r="F35" i="22" s="1"/>
  <c r="G35" i="22" s="1"/>
  <c r="J30" i="22"/>
  <c r="I30" i="22"/>
  <c r="J27" i="22"/>
  <c r="K25" i="22"/>
  <c r="L22" i="22"/>
  <c r="M22" i="22" s="1"/>
  <c r="N22" i="22" s="1"/>
  <c r="O22" i="22" s="1"/>
  <c r="P22" i="22" s="1"/>
  <c r="Q22" i="22" s="1"/>
  <c r="R22" i="22" s="1"/>
  <c r="S22" i="22" s="1"/>
  <c r="T22" i="22" s="1"/>
  <c r="U22" i="22" s="1"/>
  <c r="V22" i="22" s="1"/>
  <c r="W22" i="22" s="1"/>
  <c r="X22" i="22" s="1"/>
  <c r="Y22" i="22" s="1"/>
  <c r="Z22" i="22" s="1"/>
  <c r="AA22" i="22" s="1"/>
  <c r="AB22" i="22" s="1"/>
  <c r="AC22" i="22" s="1"/>
  <c r="AD22" i="22" s="1"/>
  <c r="AE22" i="22" s="1"/>
  <c r="AF22" i="22" s="1"/>
  <c r="AG22" i="22" s="1"/>
  <c r="AH22" i="22" s="1"/>
  <c r="AI22" i="22" s="1"/>
  <c r="AJ22" i="22" s="1"/>
  <c r="AK22" i="22" s="1"/>
  <c r="AL22" i="22" s="1"/>
  <c r="AM22" i="22" s="1"/>
  <c r="AN22" i="22" s="1"/>
  <c r="AO22" i="22" s="1"/>
  <c r="AP22" i="22" s="1"/>
  <c r="AQ22" i="22" s="1"/>
  <c r="AR22" i="22" s="1"/>
  <c r="AS22" i="22" s="1"/>
  <c r="AT22" i="22" s="1"/>
  <c r="AU22" i="22" s="1"/>
  <c r="AV22" i="22" s="1"/>
  <c r="AW22" i="22" s="1"/>
  <c r="AX22" i="22" s="1"/>
  <c r="AY22" i="22" s="1"/>
  <c r="AZ22" i="22" s="1"/>
  <c r="BA22" i="22" s="1"/>
  <c r="BB22" i="22" s="1"/>
  <c r="BC22" i="22" s="1"/>
  <c r="BD22" i="22" s="1"/>
  <c r="BE22" i="22" s="1"/>
  <c r="BF22" i="22" s="1"/>
  <c r="BG22" i="22" s="1"/>
  <c r="BH22" i="22" s="1"/>
  <c r="BI22" i="22" s="1"/>
  <c r="BJ22" i="22" s="1"/>
  <c r="BK22" i="22" s="1"/>
  <c r="BL22" i="22" s="1"/>
  <c r="BM22" i="22" s="1"/>
  <c r="BN22" i="22" s="1"/>
  <c r="BO22" i="22" s="1"/>
  <c r="BP22" i="22" s="1"/>
  <c r="BQ22" i="22" s="1"/>
  <c r="BQ21" i="22"/>
  <c r="BP21" i="22"/>
  <c r="BO21" i="22"/>
  <c r="BN21" i="22"/>
  <c r="BM21" i="22"/>
  <c r="BL21" i="22"/>
  <c r="BK21" i="22"/>
  <c r="BJ21" i="22"/>
  <c r="BI21" i="22"/>
  <c r="BH21" i="22"/>
  <c r="BG21" i="22"/>
  <c r="BF21" i="22"/>
  <c r="BE21" i="22"/>
  <c r="BD21" i="22"/>
  <c r="BC21" i="22"/>
  <c r="BB21" i="22"/>
  <c r="BA21" i="22"/>
  <c r="AZ21" i="22"/>
  <c r="AY21" i="22"/>
  <c r="AX21" i="22"/>
  <c r="AW21" i="22"/>
  <c r="AV21" i="22"/>
  <c r="AU21" i="22"/>
  <c r="AT21" i="22"/>
  <c r="AS21" i="22"/>
  <c r="AR21" i="22"/>
  <c r="AQ21" i="22"/>
  <c r="AP21" i="22"/>
  <c r="AO21" i="22"/>
  <c r="AN21" i="22"/>
  <c r="AM21" i="22"/>
  <c r="AL21" i="22"/>
  <c r="AK21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BF20" i="22"/>
  <c r="AT20" i="22"/>
  <c r="AH20" i="22"/>
  <c r="V20" i="22"/>
  <c r="J20" i="22"/>
  <c r="C20" i="22"/>
  <c r="D20" i="22" s="1"/>
  <c r="E20" i="22" s="1"/>
  <c r="F20" i="22" s="1"/>
  <c r="G20" i="22" s="1"/>
  <c r="A3" i="36"/>
  <c r="A3" i="45"/>
  <c r="A19" i="45"/>
  <c r="A6" i="45"/>
  <c r="I15" i="22"/>
  <c r="J46" i="22" l="1"/>
  <c r="J31" i="22"/>
  <c r="K57" i="22"/>
  <c r="K61" i="22"/>
  <c r="L53" i="22"/>
  <c r="L57" i="22" s="1"/>
  <c r="M55" i="22"/>
  <c r="L59" i="22"/>
  <c r="L38" i="22"/>
  <c r="L42" i="22" s="1"/>
  <c r="M40" i="22"/>
  <c r="K42" i="22"/>
  <c r="K45" i="22"/>
  <c r="K46" i="22" s="1"/>
  <c r="L44" i="22"/>
  <c r="K27" i="22"/>
  <c r="L25" i="22"/>
  <c r="L27" i="22" s="1"/>
  <c r="M23" i="22"/>
  <c r="L30" i="22"/>
  <c r="K30" i="22"/>
  <c r="K31" i="22" s="1"/>
  <c r="L29" i="22"/>
  <c r="F10" i="27"/>
  <c r="F9" i="27"/>
  <c r="C4" i="49"/>
  <c r="C26" i="37"/>
  <c r="C28" i="37" s="1"/>
  <c r="C25" i="37"/>
  <c r="C24" i="37"/>
  <c r="C23" i="37"/>
  <c r="C21" i="37"/>
  <c r="C20" i="37"/>
  <c r="C18" i="37"/>
  <c r="C14" i="37"/>
  <c r="C13" i="37"/>
  <c r="C12" i="37"/>
  <c r="C10" i="37"/>
  <c r="C9" i="37"/>
  <c r="C8" i="37"/>
  <c r="C7" i="37"/>
  <c r="L5" i="40"/>
  <c r="D4" i="49" s="1"/>
  <c r="D7" i="49" s="1"/>
  <c r="L4" i="40"/>
  <c r="M25" i="22" l="1"/>
  <c r="N25" i="22" s="1"/>
  <c r="O25" i="22" s="1"/>
  <c r="P25" i="22" s="1"/>
  <c r="N55" i="22"/>
  <c r="M59" i="22"/>
  <c r="M53" i="22"/>
  <c r="M57" i="22" s="1"/>
  <c r="L60" i="22"/>
  <c r="L61" i="22" s="1"/>
  <c r="M44" i="22"/>
  <c r="N40" i="22"/>
  <c r="M38" i="22"/>
  <c r="L45" i="22"/>
  <c r="L46" i="22" s="1"/>
  <c r="N23" i="22"/>
  <c r="M30" i="22"/>
  <c r="L31" i="22"/>
  <c r="M29" i="22"/>
  <c r="B31" i="46"/>
  <c r="B32" i="46"/>
  <c r="B33" i="46"/>
  <c r="A18" i="27"/>
  <c r="D18" i="27" s="1"/>
  <c r="M27" i="22" l="1"/>
  <c r="N59" i="22"/>
  <c r="O55" i="22"/>
  <c r="N53" i="22"/>
  <c r="N57" i="22" s="1"/>
  <c r="M60" i="22"/>
  <c r="M61" i="22" s="1"/>
  <c r="O40" i="22"/>
  <c r="N44" i="22"/>
  <c r="N38" i="22"/>
  <c r="M45" i="22"/>
  <c r="M46" i="22" s="1"/>
  <c r="M42" i="22"/>
  <c r="Q25" i="22"/>
  <c r="M31" i="22"/>
  <c r="N29" i="22"/>
  <c r="O23" i="22"/>
  <c r="N30" i="22"/>
  <c r="N27" i="22"/>
  <c r="A19" i="27"/>
  <c r="D19" i="27" s="1"/>
  <c r="B18" i="27"/>
  <c r="F11" i="27"/>
  <c r="O53" i="22" l="1"/>
  <c r="O57" i="22" s="1"/>
  <c r="N60" i="22"/>
  <c r="N61" i="22" s="1"/>
  <c r="P55" i="22"/>
  <c r="O59" i="22"/>
  <c r="O38" i="22"/>
  <c r="O42" i="22" s="1"/>
  <c r="N45" i="22"/>
  <c r="N46" i="22" s="1"/>
  <c r="P40" i="22"/>
  <c r="O44" i="22"/>
  <c r="N42" i="22"/>
  <c r="P23" i="22"/>
  <c r="O30" i="22"/>
  <c r="O27" i="22"/>
  <c r="N31" i="22"/>
  <c r="O29" i="22"/>
  <c r="R25" i="22"/>
  <c r="B19" i="27"/>
  <c r="A20" i="27"/>
  <c r="B20" i="27" s="1"/>
  <c r="Q55" i="22" l="1"/>
  <c r="P59" i="22"/>
  <c r="P53" i="22"/>
  <c r="O60" i="22"/>
  <c r="O61" i="22" s="1"/>
  <c r="P44" i="22"/>
  <c r="Q40" i="22"/>
  <c r="P38" i="22"/>
  <c r="O45" i="22"/>
  <c r="O46" i="22" s="1"/>
  <c r="S25" i="22"/>
  <c r="O31" i="22"/>
  <c r="P29" i="22"/>
  <c r="P30" i="22"/>
  <c r="Q23" i="22"/>
  <c r="P27" i="22"/>
  <c r="D20" i="27"/>
  <c r="A21" i="27"/>
  <c r="B21" i="27" s="1"/>
  <c r="P60" i="22" l="1"/>
  <c r="P61" i="22" s="1"/>
  <c r="Q53" i="22"/>
  <c r="Q57" i="22" s="1"/>
  <c r="Q59" i="22"/>
  <c r="R55" i="22"/>
  <c r="P57" i="22"/>
  <c r="P45" i="22"/>
  <c r="P46" i="22" s="1"/>
  <c r="Q38" i="22"/>
  <c r="Q42" i="22" s="1"/>
  <c r="P42" i="22"/>
  <c r="Q44" i="22"/>
  <c r="R40" i="22"/>
  <c r="Q30" i="22"/>
  <c r="R23" i="22"/>
  <c r="Q27" i="22"/>
  <c r="P31" i="22"/>
  <c r="Q29" i="22"/>
  <c r="T25" i="22"/>
  <c r="D21" i="27"/>
  <c r="A22" i="27"/>
  <c r="A23" i="27" s="1"/>
  <c r="S55" i="22" l="1"/>
  <c r="Q60" i="22"/>
  <c r="R53" i="22"/>
  <c r="Q61" i="22"/>
  <c r="R59" i="22"/>
  <c r="S40" i="22"/>
  <c r="Q45" i="22"/>
  <c r="Q46" i="22" s="1"/>
  <c r="R38" i="22"/>
  <c r="R44" i="22"/>
  <c r="Q31" i="22"/>
  <c r="R29" i="22"/>
  <c r="U25" i="22"/>
  <c r="R30" i="22"/>
  <c r="S23" i="22"/>
  <c r="R27" i="22"/>
  <c r="D22" i="27"/>
  <c r="B22" i="27"/>
  <c r="A24" i="27"/>
  <c r="D23" i="27"/>
  <c r="B23" i="27"/>
  <c r="S59" i="22" l="1"/>
  <c r="R60" i="22"/>
  <c r="R61" i="22" s="1"/>
  <c r="S53" i="22"/>
  <c r="R57" i="22"/>
  <c r="T55" i="22"/>
  <c r="S57" i="22"/>
  <c r="S38" i="22"/>
  <c r="S42" i="22" s="1"/>
  <c r="R45" i="22"/>
  <c r="R46" i="22" s="1"/>
  <c r="R42" i="22"/>
  <c r="S44" i="22"/>
  <c r="T40" i="22"/>
  <c r="R31" i="22"/>
  <c r="S29" i="22"/>
  <c r="T23" i="22"/>
  <c r="S30" i="22"/>
  <c r="S27" i="22"/>
  <c r="V25" i="22"/>
  <c r="A25" i="27"/>
  <c r="B24" i="27"/>
  <c r="D24" i="27"/>
  <c r="U55" i="22" l="1"/>
  <c r="S60" i="22"/>
  <c r="T53" i="22"/>
  <c r="S61" i="22"/>
  <c r="T59" i="22"/>
  <c r="U40" i="22"/>
  <c r="T44" i="22"/>
  <c r="T38" i="22"/>
  <c r="T42" i="22" s="1"/>
  <c r="S45" i="22"/>
  <c r="S46" i="22" s="1"/>
  <c r="W25" i="22"/>
  <c r="S31" i="22"/>
  <c r="T29" i="22"/>
  <c r="U23" i="22"/>
  <c r="T30" i="22"/>
  <c r="T27" i="22"/>
  <c r="A26" i="27"/>
  <c r="B25" i="27"/>
  <c r="D25" i="27"/>
  <c r="U59" i="22" l="1"/>
  <c r="U53" i="22"/>
  <c r="T60" i="22"/>
  <c r="T61" i="22" s="1"/>
  <c r="T57" i="22"/>
  <c r="U57" i="22"/>
  <c r="C51" i="22" s="1"/>
  <c r="V55" i="22"/>
  <c r="U44" i="22"/>
  <c r="U38" i="22"/>
  <c r="U42" i="22" s="1"/>
  <c r="C36" i="22" s="1"/>
  <c r="T45" i="22"/>
  <c r="T46" i="22" s="1"/>
  <c r="V40" i="22"/>
  <c r="V23" i="22"/>
  <c r="U30" i="22"/>
  <c r="U27" i="22"/>
  <c r="C21" i="22" s="1"/>
  <c r="T31" i="22"/>
  <c r="U29" i="22"/>
  <c r="X25" i="22"/>
  <c r="A27" i="27"/>
  <c r="D26" i="27"/>
  <c r="B26" i="27"/>
  <c r="W55" i="22" l="1"/>
  <c r="V53" i="22"/>
  <c r="U60" i="22"/>
  <c r="U61" i="22" s="1"/>
  <c r="C52" i="22" s="1"/>
  <c r="V59" i="22"/>
  <c r="W40" i="22"/>
  <c r="V38" i="22"/>
  <c r="U45" i="22"/>
  <c r="U46" i="22" s="1"/>
  <c r="C37" i="22" s="1"/>
  <c r="V44" i="22"/>
  <c r="Y25" i="22"/>
  <c r="U31" i="22"/>
  <c r="C22" i="22" s="1"/>
  <c r="V29" i="22"/>
  <c r="W23" i="22"/>
  <c r="V30" i="22"/>
  <c r="V27" i="22"/>
  <c r="A28" i="27"/>
  <c r="D27" i="27"/>
  <c r="B27" i="27"/>
  <c r="W53" i="22" l="1"/>
  <c r="W57" i="22" s="1"/>
  <c r="V60" i="22"/>
  <c r="V61" i="22" s="1"/>
  <c r="X55" i="22"/>
  <c r="W59" i="22"/>
  <c r="V57" i="22"/>
  <c r="W38" i="22"/>
  <c r="W42" i="22" s="1"/>
  <c r="V45" i="22"/>
  <c r="V46" i="22" s="1"/>
  <c r="X40" i="22"/>
  <c r="W44" i="22"/>
  <c r="V42" i="22"/>
  <c r="X23" i="22"/>
  <c r="W30" i="22"/>
  <c r="W27" i="22"/>
  <c r="V31" i="22"/>
  <c r="W29" i="22"/>
  <c r="Z25" i="22"/>
  <c r="A29" i="27"/>
  <c r="B28" i="27"/>
  <c r="D28" i="27"/>
  <c r="X59" i="22" l="1"/>
  <c r="Y55" i="22"/>
  <c r="X53" i="22"/>
  <c r="W60" i="22"/>
  <c r="W61" i="22" s="1"/>
  <c r="X44" i="22"/>
  <c r="Y40" i="22"/>
  <c r="X38" i="22"/>
  <c r="W45" i="22"/>
  <c r="W46" i="22" s="1"/>
  <c r="AA25" i="22"/>
  <c r="W31" i="22"/>
  <c r="X29" i="22"/>
  <c r="X30" i="22"/>
  <c r="Y23" i="22"/>
  <c r="X27" i="22"/>
  <c r="B29" i="27"/>
  <c r="D29" i="27"/>
  <c r="Y59" i="22" l="1"/>
  <c r="X60" i="22"/>
  <c r="X61" i="22" s="1"/>
  <c r="Y53" i="22"/>
  <c r="Y57" i="22" s="1"/>
  <c r="Z55" i="22"/>
  <c r="X57" i="22"/>
  <c r="X45" i="22"/>
  <c r="X46" i="22" s="1"/>
  <c r="Y38" i="22"/>
  <c r="Y42" i="22" s="1"/>
  <c r="Z40" i="22"/>
  <c r="X42" i="22"/>
  <c r="Y44" i="22"/>
  <c r="Y30" i="22"/>
  <c r="Z23" i="22"/>
  <c r="Y27" i="22"/>
  <c r="X31" i="22"/>
  <c r="Y29" i="22"/>
  <c r="AB25" i="22"/>
  <c r="A30" i="38"/>
  <c r="A31" i="38"/>
  <c r="C32" i="38"/>
  <c r="O32" i="38"/>
  <c r="AA32" i="38"/>
  <c r="AM32" i="38"/>
  <c r="AY32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I33" i="38"/>
  <c r="AJ33" i="38"/>
  <c r="AK33" i="38"/>
  <c r="AL33" i="38"/>
  <c r="AM33" i="38"/>
  <c r="AN33" i="38"/>
  <c r="AO33" i="38"/>
  <c r="AP33" i="38"/>
  <c r="AQ33" i="38"/>
  <c r="AR33" i="38"/>
  <c r="AS33" i="38"/>
  <c r="AT33" i="38"/>
  <c r="AU33" i="38"/>
  <c r="AV33" i="38"/>
  <c r="AW33" i="38"/>
  <c r="AX33" i="38"/>
  <c r="AY33" i="38"/>
  <c r="AZ33" i="38"/>
  <c r="BA33" i="38"/>
  <c r="BB33" i="38"/>
  <c r="BC33" i="38"/>
  <c r="BD33" i="38"/>
  <c r="BE33" i="38"/>
  <c r="BF33" i="38"/>
  <c r="BG33" i="38"/>
  <c r="BH33" i="38"/>
  <c r="BI33" i="38"/>
  <c r="BJ33" i="38"/>
  <c r="D51" i="38"/>
  <c r="D52" i="38" s="1"/>
  <c r="E51" i="38"/>
  <c r="F51" i="38"/>
  <c r="F52" i="38" s="1"/>
  <c r="G51" i="38"/>
  <c r="H51" i="38"/>
  <c r="H52" i="38" s="1"/>
  <c r="I51" i="38"/>
  <c r="J51" i="38"/>
  <c r="J52" i="38" s="1"/>
  <c r="K51" i="38"/>
  <c r="L51" i="38"/>
  <c r="L52" i="38" s="1"/>
  <c r="M51" i="38"/>
  <c r="M52" i="38" s="1"/>
  <c r="N51" i="38"/>
  <c r="N52" i="38" s="1"/>
  <c r="O51" i="38"/>
  <c r="O52" i="38" s="1"/>
  <c r="P51" i="38"/>
  <c r="P52" i="38" s="1"/>
  <c r="Q51" i="38"/>
  <c r="R51" i="38"/>
  <c r="R52" i="38" s="1"/>
  <c r="S51" i="38"/>
  <c r="T51" i="38"/>
  <c r="T52" i="38" s="1"/>
  <c r="U51" i="38"/>
  <c r="V51" i="38"/>
  <c r="V52" i="38" s="1"/>
  <c r="W51" i="38"/>
  <c r="X51" i="38"/>
  <c r="X52" i="38" s="1"/>
  <c r="Y51" i="38"/>
  <c r="Z51" i="38"/>
  <c r="Z52" i="38" s="1"/>
  <c r="AA51" i="38"/>
  <c r="AB51" i="38"/>
  <c r="AB52" i="38" s="1"/>
  <c r="AC51" i="38"/>
  <c r="AC52" i="38" s="1"/>
  <c r="AD51" i="38"/>
  <c r="AD52" i="38" s="1"/>
  <c r="AE51" i="38"/>
  <c r="AE52" i="38" s="1"/>
  <c r="AF51" i="38"/>
  <c r="AF52" i="38" s="1"/>
  <c r="AG51" i="38"/>
  <c r="AH51" i="38"/>
  <c r="AH52" i="38" s="1"/>
  <c r="AI51" i="38"/>
  <c r="AJ51" i="38"/>
  <c r="AJ52" i="38" s="1"/>
  <c r="AK51" i="38"/>
  <c r="AL51" i="38"/>
  <c r="AL52" i="38" s="1"/>
  <c r="AM51" i="38"/>
  <c r="AN51" i="38"/>
  <c r="AN52" i="38" s="1"/>
  <c r="AO51" i="38"/>
  <c r="AP51" i="38"/>
  <c r="AP52" i="38" s="1"/>
  <c r="AQ51" i="38"/>
  <c r="AR51" i="38"/>
  <c r="AR52" i="38" s="1"/>
  <c r="AS51" i="38"/>
  <c r="AS52" i="38" s="1"/>
  <c r="AT51" i="38"/>
  <c r="AT52" i="38" s="1"/>
  <c r="AU51" i="38"/>
  <c r="AU52" i="38" s="1"/>
  <c r="AV51" i="38"/>
  <c r="AV52" i="38" s="1"/>
  <c r="AW51" i="38"/>
  <c r="AX51" i="38"/>
  <c r="AX52" i="38" s="1"/>
  <c r="AY51" i="38"/>
  <c r="AZ51" i="38"/>
  <c r="AZ52" i="38" s="1"/>
  <c r="BA51" i="38"/>
  <c r="BB51" i="38"/>
  <c r="BB52" i="38" s="1"/>
  <c r="BC51" i="38"/>
  <c r="BD51" i="38"/>
  <c r="BD52" i="38" s="1"/>
  <c r="BE51" i="38"/>
  <c r="BF51" i="38"/>
  <c r="BF52" i="38" s="1"/>
  <c r="BG51" i="38"/>
  <c r="BH51" i="38"/>
  <c r="BH52" i="38" s="1"/>
  <c r="BI51" i="38"/>
  <c r="BI52" i="38" s="1"/>
  <c r="BJ51" i="38"/>
  <c r="BJ52" i="38" s="1"/>
  <c r="E52" i="38"/>
  <c r="G52" i="38"/>
  <c r="I52" i="38"/>
  <c r="K52" i="38"/>
  <c r="Q52" i="38"/>
  <c r="S52" i="38"/>
  <c r="U52" i="38"/>
  <c r="W52" i="38"/>
  <c r="Y52" i="38"/>
  <c r="AA52" i="38"/>
  <c r="AG52" i="38"/>
  <c r="AI52" i="38"/>
  <c r="AK52" i="38"/>
  <c r="AM52" i="38"/>
  <c r="AO52" i="38"/>
  <c r="AQ52" i="38"/>
  <c r="AW52" i="38"/>
  <c r="AY52" i="38"/>
  <c r="BA52" i="38"/>
  <c r="BC52" i="38"/>
  <c r="BE52" i="38"/>
  <c r="BG52" i="38"/>
  <c r="C55" i="38"/>
  <c r="A31" i="37"/>
  <c r="A32" i="37"/>
  <c r="D33" i="37"/>
  <c r="P33" i="37"/>
  <c r="AB33" i="37"/>
  <c r="AN33" i="37"/>
  <c r="AZ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AD34" i="37"/>
  <c r="AE34" i="37"/>
  <c r="AF34" i="37"/>
  <c r="AG34" i="37"/>
  <c r="AH34" i="37"/>
  <c r="AI34" i="37"/>
  <c r="AJ34" i="37"/>
  <c r="AK34" i="37"/>
  <c r="AL34" i="37"/>
  <c r="AM34" i="37"/>
  <c r="AN34" i="37"/>
  <c r="AO34" i="37"/>
  <c r="AP34" i="37"/>
  <c r="AQ34" i="37"/>
  <c r="AR34" i="37"/>
  <c r="AS34" i="37"/>
  <c r="AT34" i="37"/>
  <c r="AU34" i="37"/>
  <c r="AV34" i="37"/>
  <c r="AW34" i="37"/>
  <c r="AX34" i="37"/>
  <c r="AY34" i="37"/>
  <c r="AZ34" i="37"/>
  <c r="BA34" i="37"/>
  <c r="BB34" i="37"/>
  <c r="BC34" i="37"/>
  <c r="BD34" i="37"/>
  <c r="BE34" i="37"/>
  <c r="BF34" i="37"/>
  <c r="BG34" i="37"/>
  <c r="BH34" i="37"/>
  <c r="BI34" i="37"/>
  <c r="BJ34" i="37"/>
  <c r="BK34" i="37"/>
  <c r="C37" i="37"/>
  <c r="C38" i="37"/>
  <c r="C39" i="37"/>
  <c r="C40" i="37"/>
  <c r="B42" i="37"/>
  <c r="C42" i="37"/>
  <c r="B43" i="37"/>
  <c r="C43" i="37"/>
  <c r="C48" i="37"/>
  <c r="C51" i="37" s="1"/>
  <c r="C50" i="37"/>
  <c r="C53" i="37"/>
  <c r="C55" i="37" s="1"/>
  <c r="C54" i="37"/>
  <c r="A34" i="36"/>
  <c r="A35" i="36"/>
  <c r="C36" i="36"/>
  <c r="O36" i="36"/>
  <c r="AA36" i="36"/>
  <c r="AM36" i="36"/>
  <c r="AY36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Y37" i="36"/>
  <c r="Z37" i="36"/>
  <c r="AA37" i="36"/>
  <c r="AB37" i="36"/>
  <c r="AC37" i="36"/>
  <c r="AD37" i="36"/>
  <c r="AE37" i="36"/>
  <c r="AF37" i="36"/>
  <c r="AG37" i="36"/>
  <c r="AH37" i="36"/>
  <c r="AI37" i="36"/>
  <c r="AJ37" i="36"/>
  <c r="AK37" i="36"/>
  <c r="AL37" i="36"/>
  <c r="AM37" i="36"/>
  <c r="AN37" i="36"/>
  <c r="AO37" i="36"/>
  <c r="AP37" i="36"/>
  <c r="AQ37" i="36"/>
  <c r="AR37" i="36"/>
  <c r="AS37" i="36"/>
  <c r="AT37" i="36"/>
  <c r="AU37" i="36"/>
  <c r="AV37" i="36"/>
  <c r="AW37" i="36"/>
  <c r="AX37" i="36"/>
  <c r="AY37" i="36"/>
  <c r="AZ37" i="36"/>
  <c r="BA37" i="36"/>
  <c r="BB37" i="36"/>
  <c r="BC37" i="36"/>
  <c r="BD37" i="36"/>
  <c r="BE37" i="36"/>
  <c r="BF37" i="36"/>
  <c r="BG37" i="36"/>
  <c r="BH37" i="36"/>
  <c r="BI37" i="36"/>
  <c r="BJ37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C67" i="36"/>
  <c r="L8" i="40"/>
  <c r="E4" i="54" s="1"/>
  <c r="L9" i="40"/>
  <c r="E5" i="54" s="1"/>
  <c r="L7" i="40"/>
  <c r="E3" i="54" s="1"/>
  <c r="E10" i="54"/>
  <c r="E9" i="54"/>
  <c r="B5" i="40"/>
  <c r="A9" i="54" s="1"/>
  <c r="C5" i="40"/>
  <c r="B9" i="54" s="1"/>
  <c r="B6" i="40"/>
  <c r="C6" i="40"/>
  <c r="B7" i="40"/>
  <c r="C7" i="40"/>
  <c r="B8" i="40"/>
  <c r="C8" i="40"/>
  <c r="B9" i="40"/>
  <c r="C9" i="40"/>
  <c r="B10" i="40"/>
  <c r="C10" i="40"/>
  <c r="B11" i="40"/>
  <c r="C11" i="40"/>
  <c r="B4" i="40"/>
  <c r="A8" i="54" s="1"/>
  <c r="A14" i="54"/>
  <c r="A13" i="54"/>
  <c r="D5" i="54"/>
  <c r="D4" i="54"/>
  <c r="B4" i="54"/>
  <c r="A4" i="54"/>
  <c r="D3" i="54"/>
  <c r="A3" i="54"/>
  <c r="C16" i="50"/>
  <c r="C15" i="50"/>
  <c r="C30" i="42"/>
  <c r="C28" i="42"/>
  <c r="C29" i="42" s="1"/>
  <c r="C27" i="42"/>
  <c r="C19" i="42"/>
  <c r="C17" i="42"/>
  <c r="C18" i="42" s="1"/>
  <c r="C16" i="42"/>
  <c r="A26" i="42"/>
  <c r="A15" i="42"/>
  <c r="C8" i="42"/>
  <c r="C6" i="42"/>
  <c r="C7" i="42" s="1"/>
  <c r="C5" i="42"/>
  <c r="A4" i="42"/>
  <c r="C45" i="38" l="1"/>
  <c r="AA55" i="22"/>
  <c r="Y60" i="22"/>
  <c r="Y61" i="22" s="1"/>
  <c r="Z53" i="22"/>
  <c r="Z57" i="22" s="1"/>
  <c r="Z59" i="22"/>
  <c r="Z44" i="22"/>
  <c r="AA40" i="22"/>
  <c r="Y45" i="22"/>
  <c r="Y46" i="22" s="1"/>
  <c r="Z38" i="22"/>
  <c r="AC25" i="22"/>
  <c r="Y31" i="22"/>
  <c r="Z29" i="22"/>
  <c r="Z30" i="22"/>
  <c r="AA23" i="22"/>
  <c r="Z27" i="22"/>
  <c r="C56" i="37"/>
  <c r="E6" i="54"/>
  <c r="C31" i="42"/>
  <c r="C20" i="42"/>
  <c r="C44" i="37"/>
  <c r="C58" i="37" s="1"/>
  <c r="E14" i="54"/>
  <c r="E11" i="54"/>
  <c r="E15" i="54"/>
  <c r="D33" i="42"/>
  <c r="D22" i="42"/>
  <c r="C9" i="42"/>
  <c r="D11" i="42"/>
  <c r="AA59" i="22" l="1"/>
  <c r="Z60" i="22"/>
  <c r="Z61" i="22" s="1"/>
  <c r="AA53" i="22"/>
  <c r="AB55" i="22"/>
  <c r="AA57" i="22"/>
  <c r="AA38" i="22"/>
  <c r="AA42" i="22" s="1"/>
  <c r="Z45" i="22"/>
  <c r="Z46" i="22" s="1"/>
  <c r="AB40" i="22"/>
  <c r="AA44" i="22"/>
  <c r="Z42" i="22"/>
  <c r="Z31" i="22"/>
  <c r="AA29" i="22"/>
  <c r="AB23" i="22"/>
  <c r="AA30" i="22"/>
  <c r="AA27" i="22"/>
  <c r="AD25" i="22"/>
  <c r="D34" i="42"/>
  <c r="D35" i="42" s="1"/>
  <c r="D23" i="42"/>
  <c r="D24" i="42" s="1"/>
  <c r="E23" i="42" s="1"/>
  <c r="E24" i="42" s="1"/>
  <c r="E16" i="54"/>
  <c r="E33" i="42"/>
  <c r="E34" i="42"/>
  <c r="E35" i="42" s="1"/>
  <c r="D12" i="42"/>
  <c r="AC55" i="22" l="1"/>
  <c r="AB59" i="22"/>
  <c r="AB53" i="22"/>
  <c r="AA60" i="22"/>
  <c r="AA61" i="22" s="1"/>
  <c r="AB44" i="22"/>
  <c r="AC40" i="22"/>
  <c r="AB38" i="22"/>
  <c r="AB42" i="22" s="1"/>
  <c r="AA45" i="22"/>
  <c r="AA46" i="22" s="1"/>
  <c r="AE25" i="22"/>
  <c r="AA31" i="22"/>
  <c r="AB29" i="22"/>
  <c r="AC23" i="22"/>
  <c r="AB30" i="22"/>
  <c r="AB27" i="22"/>
  <c r="E22" i="42"/>
  <c r="D13" i="42"/>
  <c r="E11" i="42" s="1"/>
  <c r="F34" i="42"/>
  <c r="F35" i="42" s="1"/>
  <c r="F33" i="42"/>
  <c r="F23" i="42"/>
  <c r="F24" i="42" s="1"/>
  <c r="F22" i="42"/>
  <c r="AC53" i="22" l="1"/>
  <c r="AC57" i="22" s="1"/>
  <c r="AB60" i="22"/>
  <c r="AB61" i="22" s="1"/>
  <c r="AD55" i="22"/>
  <c r="AC59" i="22"/>
  <c r="AB57" i="22"/>
  <c r="AC44" i="22"/>
  <c r="AC38" i="22"/>
  <c r="AC42" i="22" s="1"/>
  <c r="AB45" i="22"/>
  <c r="AB46" i="22" s="1"/>
  <c r="AD40" i="22"/>
  <c r="AF25" i="22"/>
  <c r="AD23" i="22"/>
  <c r="AC30" i="22"/>
  <c r="AC27" i="22"/>
  <c r="AB31" i="22"/>
  <c r="AC29" i="22"/>
  <c r="E12" i="42"/>
  <c r="G34" i="42"/>
  <c r="G35" i="42" s="1"/>
  <c r="G33" i="42"/>
  <c r="G23" i="42"/>
  <c r="G24" i="42" s="1"/>
  <c r="G22" i="42"/>
  <c r="AD59" i="22" l="1"/>
  <c r="AE55" i="22"/>
  <c r="AD53" i="22"/>
  <c r="AC60" i="22"/>
  <c r="AC61" i="22" s="1"/>
  <c r="AE40" i="22"/>
  <c r="AD38" i="22"/>
  <c r="AC45" i="22"/>
  <c r="AC46" i="22" s="1"/>
  <c r="AD44" i="22"/>
  <c r="AC31" i="22"/>
  <c r="AD29" i="22"/>
  <c r="AG25" i="22"/>
  <c r="AE23" i="22"/>
  <c r="AD30" i="22"/>
  <c r="AD27" i="22"/>
  <c r="E13" i="42"/>
  <c r="H34" i="42"/>
  <c r="H35" i="42" s="1"/>
  <c r="H33" i="42"/>
  <c r="H23" i="42"/>
  <c r="H24" i="42" s="1"/>
  <c r="H22" i="42"/>
  <c r="AE53" i="22" l="1"/>
  <c r="AE57" i="22" s="1"/>
  <c r="AD60" i="22"/>
  <c r="AD61" i="22" s="1"/>
  <c r="AD57" i="22"/>
  <c r="AE59" i="22"/>
  <c r="AF55" i="22"/>
  <c r="AE44" i="22"/>
  <c r="AE38" i="22"/>
  <c r="AE42" i="22" s="1"/>
  <c r="AD45" i="22"/>
  <c r="AD46" i="22" s="1"/>
  <c r="AF40" i="22"/>
  <c r="AD42" i="22"/>
  <c r="AF23" i="22"/>
  <c r="AE30" i="22"/>
  <c r="AE27" i="22"/>
  <c r="AH25" i="22"/>
  <c r="AE29" i="22"/>
  <c r="AD31" i="22"/>
  <c r="F11" i="42"/>
  <c r="I34" i="42"/>
  <c r="I35" i="42" s="1"/>
  <c r="I33" i="42"/>
  <c r="I23" i="42"/>
  <c r="I24" i="42" s="1"/>
  <c r="I22" i="42"/>
  <c r="AG55" i="22" l="1"/>
  <c r="AF59" i="22"/>
  <c r="AF53" i="22"/>
  <c r="AE60" i="22"/>
  <c r="AE61" i="22" s="1"/>
  <c r="AG40" i="22"/>
  <c r="AF38" i="22"/>
  <c r="AE45" i="22"/>
  <c r="AE46" i="22" s="1"/>
  <c r="AF44" i="22"/>
  <c r="AE31" i="22"/>
  <c r="AF29" i="22"/>
  <c r="AI25" i="22"/>
  <c r="AF30" i="22"/>
  <c r="AG23" i="22"/>
  <c r="AF27" i="22"/>
  <c r="F12" i="42"/>
  <c r="J34" i="42"/>
  <c r="J35" i="42" s="1"/>
  <c r="J33" i="42"/>
  <c r="J23" i="42"/>
  <c r="J24" i="42" s="1"/>
  <c r="J22" i="42"/>
  <c r="AF60" i="22" l="1"/>
  <c r="AF61" i="22" s="1"/>
  <c r="AG53" i="22"/>
  <c r="AG57" i="22" s="1"/>
  <c r="AG59" i="22"/>
  <c r="AH55" i="22"/>
  <c r="AF57" i="22"/>
  <c r="AG44" i="22"/>
  <c r="AF45" i="22"/>
  <c r="AF46" i="22" s="1"/>
  <c r="AG38" i="22"/>
  <c r="AG42" i="22" s="1"/>
  <c r="AH40" i="22"/>
  <c r="AF42" i="22"/>
  <c r="AG30" i="22"/>
  <c r="AH23" i="22"/>
  <c r="AG27" i="22"/>
  <c r="D21" i="22" s="1"/>
  <c r="AJ25" i="22"/>
  <c r="AF31" i="22"/>
  <c r="AG29" i="22"/>
  <c r="F13" i="42"/>
  <c r="K34" i="42"/>
  <c r="K35" i="42" s="1"/>
  <c r="K33" i="42"/>
  <c r="K23" i="42"/>
  <c r="K24" i="42" s="1"/>
  <c r="K22" i="42"/>
  <c r="D51" i="22" l="1"/>
  <c r="D36" i="22"/>
  <c r="AG60" i="22"/>
  <c r="AH53" i="22"/>
  <c r="AI55" i="22"/>
  <c r="AH57" i="22"/>
  <c r="AG61" i="22"/>
  <c r="D52" i="22" s="1"/>
  <c r="AH59" i="22"/>
  <c r="AG45" i="22"/>
  <c r="AG46" i="22" s="1"/>
  <c r="D37" i="22" s="1"/>
  <c r="AH38" i="22"/>
  <c r="AI40" i="22"/>
  <c r="AH44" i="22"/>
  <c r="AG31" i="22"/>
  <c r="D22" i="22" s="1"/>
  <c r="AH29" i="22"/>
  <c r="AK25" i="22"/>
  <c r="AH30" i="22"/>
  <c r="AI23" i="22"/>
  <c r="AH27" i="22"/>
  <c r="G11" i="42"/>
  <c r="L34" i="42"/>
  <c r="L35" i="42" s="1"/>
  <c r="L33" i="42"/>
  <c r="L23" i="42"/>
  <c r="L24" i="42" s="1"/>
  <c r="L22" i="42"/>
  <c r="AI59" i="22" l="1"/>
  <c r="AH60" i="22"/>
  <c r="AH61" i="22" s="1"/>
  <c r="AI53" i="22"/>
  <c r="AJ55" i="22"/>
  <c r="AJ40" i="22"/>
  <c r="AI38" i="22"/>
  <c r="AH45" i="22"/>
  <c r="AH46" i="22" s="1"/>
  <c r="AI44" i="22"/>
  <c r="AH42" i="22"/>
  <c r="AJ23" i="22"/>
  <c r="AI30" i="22"/>
  <c r="AI27" i="22"/>
  <c r="AH31" i="22"/>
  <c r="AI29" i="22"/>
  <c r="AL25" i="22"/>
  <c r="G12" i="42"/>
  <c r="M33" i="42"/>
  <c r="M34" i="42"/>
  <c r="M35" i="42" s="1"/>
  <c r="M22" i="42"/>
  <c r="M23" i="42"/>
  <c r="M24" i="42" s="1"/>
  <c r="AK55" i="22" l="1"/>
  <c r="AI60" i="22"/>
  <c r="AI61" i="22" s="1"/>
  <c r="AJ53" i="22"/>
  <c r="AJ59" i="22"/>
  <c r="AI57" i="22"/>
  <c r="AJ44" i="22"/>
  <c r="AJ38" i="22"/>
  <c r="AI45" i="22"/>
  <c r="AI46" i="22" s="1"/>
  <c r="AI42" i="22"/>
  <c r="AK40" i="22"/>
  <c r="AM25" i="22"/>
  <c r="AI31" i="22"/>
  <c r="AJ29" i="22"/>
  <c r="AK23" i="22"/>
  <c r="AJ30" i="22"/>
  <c r="AJ27" i="22"/>
  <c r="G13" i="42"/>
  <c r="N34" i="42"/>
  <c r="N35" i="42" s="1"/>
  <c r="N33" i="42"/>
  <c r="N23" i="42"/>
  <c r="N24" i="42" s="1"/>
  <c r="N22" i="42"/>
  <c r="AK59" i="22" l="1"/>
  <c r="AK53" i="22"/>
  <c r="AJ60" i="22"/>
  <c r="AJ61" i="22" s="1"/>
  <c r="AJ57" i="22"/>
  <c r="AL55" i="22"/>
  <c r="AL40" i="22"/>
  <c r="AK38" i="22"/>
  <c r="AJ45" i="22"/>
  <c r="AJ46" i="22" s="1"/>
  <c r="AK44" i="22"/>
  <c r="AJ42" i="22"/>
  <c r="AL23" i="22"/>
  <c r="AK30" i="22"/>
  <c r="AK27" i="22"/>
  <c r="AN25" i="22"/>
  <c r="AJ31" i="22"/>
  <c r="AK29" i="22"/>
  <c r="H11" i="42"/>
  <c r="O34" i="42"/>
  <c r="O35" i="42" s="1"/>
  <c r="O33" i="42"/>
  <c r="O23" i="42"/>
  <c r="O24" i="42" s="1"/>
  <c r="O22" i="42"/>
  <c r="AL53" i="22" l="1"/>
  <c r="AL57" i="22" s="1"/>
  <c r="AK60" i="22"/>
  <c r="AK61" i="22" s="1"/>
  <c r="AL59" i="22"/>
  <c r="AM55" i="22"/>
  <c r="AK57" i="22"/>
  <c r="AL44" i="22"/>
  <c r="AL38" i="22"/>
  <c r="AL42" i="22" s="1"/>
  <c r="AK45" i="22"/>
  <c r="AK46" i="22" s="1"/>
  <c r="AM40" i="22"/>
  <c r="AK42" i="22"/>
  <c r="AK31" i="22"/>
  <c r="AL29" i="22"/>
  <c r="AO25" i="22"/>
  <c r="AM23" i="22"/>
  <c r="AL30" i="22"/>
  <c r="AL27" i="22"/>
  <c r="H12" i="42"/>
  <c r="P34" i="42"/>
  <c r="P35" i="42" s="1"/>
  <c r="P33" i="42"/>
  <c r="P23" i="42"/>
  <c r="P24" i="42" s="1"/>
  <c r="P22" i="42"/>
  <c r="AN55" i="22" l="1"/>
  <c r="AM59" i="22"/>
  <c r="AM53" i="22"/>
  <c r="AL60" i="22"/>
  <c r="AL61" i="22" s="1"/>
  <c r="AM38" i="22"/>
  <c r="AM42" i="22" s="1"/>
  <c r="AL45" i="22"/>
  <c r="AL46" i="22" s="1"/>
  <c r="AN40" i="22"/>
  <c r="AM44" i="22"/>
  <c r="AN23" i="22"/>
  <c r="AM30" i="22"/>
  <c r="AM27" i="22"/>
  <c r="AP25" i="22"/>
  <c r="AM29" i="22"/>
  <c r="AL31" i="22"/>
  <c r="H13" i="42"/>
  <c r="Q34" i="42"/>
  <c r="Q35" i="42" s="1"/>
  <c r="Q33" i="42"/>
  <c r="Q23" i="42"/>
  <c r="Q24" i="42" s="1"/>
  <c r="Q22" i="42"/>
  <c r="AN53" i="22" l="1"/>
  <c r="AN57" i="22" s="1"/>
  <c r="AM60" i="22"/>
  <c r="AM61" i="22" s="1"/>
  <c r="AO55" i="22"/>
  <c r="AN59" i="22"/>
  <c r="AM57" i="22"/>
  <c r="AN44" i="22"/>
  <c r="AO40" i="22"/>
  <c r="AN38" i="22"/>
  <c r="AM45" i="22"/>
  <c r="AM46" i="22" s="1"/>
  <c r="AM31" i="22"/>
  <c r="AN29" i="22"/>
  <c r="AQ25" i="22"/>
  <c r="AN30" i="22"/>
  <c r="AO23" i="22"/>
  <c r="AN27" i="22"/>
  <c r="I11" i="42"/>
  <c r="R34" i="42"/>
  <c r="R35" i="42" s="1"/>
  <c r="R33" i="42"/>
  <c r="R23" i="42"/>
  <c r="R24" i="42" s="1"/>
  <c r="R22" i="42"/>
  <c r="AP55" i="22" l="1"/>
  <c r="AO59" i="22"/>
  <c r="AN60" i="22"/>
  <c r="AN61" i="22" s="1"/>
  <c r="AO53" i="22"/>
  <c r="AN45" i="22"/>
  <c r="AN46" i="22" s="1"/>
  <c r="AO38" i="22"/>
  <c r="AO42" i="22" s="1"/>
  <c r="AP40" i="22"/>
  <c r="AN42" i="22"/>
  <c r="AO44" i="22"/>
  <c r="AR25" i="22"/>
  <c r="AN31" i="22"/>
  <c r="AO29" i="22"/>
  <c r="AO30" i="22"/>
  <c r="AP23" i="22"/>
  <c r="AO27" i="22"/>
  <c r="I12" i="42"/>
  <c r="S34" i="42"/>
  <c r="S35" i="42" s="1"/>
  <c r="S33" i="42"/>
  <c r="S23" i="42"/>
  <c r="S24" i="42" s="1"/>
  <c r="S22" i="42"/>
  <c r="AO60" i="22" l="1"/>
  <c r="AO61" i="22" s="1"/>
  <c r="AP53" i="22"/>
  <c r="AP57" i="22" s="1"/>
  <c r="AP59" i="22"/>
  <c r="AQ55" i="22"/>
  <c r="AO57" i="22"/>
  <c r="AP44" i="22"/>
  <c r="AQ40" i="22"/>
  <c r="AO45" i="22"/>
  <c r="AO46" i="22" s="1"/>
  <c r="AP38" i="22"/>
  <c r="AP30" i="22"/>
  <c r="AQ23" i="22"/>
  <c r="AP27" i="22"/>
  <c r="AO31" i="22"/>
  <c r="AP29" i="22"/>
  <c r="AS25" i="22"/>
  <c r="I13" i="42"/>
  <c r="T34" i="42"/>
  <c r="T35" i="42" s="1"/>
  <c r="T33" i="42"/>
  <c r="T23" i="42"/>
  <c r="T24" i="42" s="1"/>
  <c r="T22" i="42"/>
  <c r="AR55" i="22" l="1"/>
  <c r="AQ59" i="22"/>
  <c r="AQ53" i="22"/>
  <c r="AP60" i="22"/>
  <c r="AP61" i="22" s="1"/>
  <c r="AQ38" i="22"/>
  <c r="AQ42" i="22" s="1"/>
  <c r="AP45" i="22"/>
  <c r="AP46" i="22" s="1"/>
  <c r="AP42" i="22"/>
  <c r="AR40" i="22"/>
  <c r="AQ44" i="22"/>
  <c r="AP31" i="22"/>
  <c r="AQ29" i="22"/>
  <c r="AR23" i="22"/>
  <c r="AQ30" i="22"/>
  <c r="AQ27" i="22"/>
  <c r="AT25" i="22"/>
  <c r="J11" i="42"/>
  <c r="U34" i="42"/>
  <c r="U35" i="42" s="1"/>
  <c r="U33" i="42"/>
  <c r="U22" i="42"/>
  <c r="U23" i="42"/>
  <c r="U24" i="42" s="1"/>
  <c r="AR53" i="22" l="1"/>
  <c r="AQ60" i="22"/>
  <c r="AQ61" i="22" s="1"/>
  <c r="AQ57" i="22"/>
  <c r="AR59" i="22"/>
  <c r="AS55" i="22"/>
  <c r="AR57" i="22"/>
  <c r="AR44" i="22"/>
  <c r="AS40" i="22"/>
  <c r="AR38" i="22"/>
  <c r="AQ45" i="22"/>
  <c r="AQ46" i="22" s="1"/>
  <c r="AS23" i="22"/>
  <c r="AR30" i="22"/>
  <c r="AR27" i="22"/>
  <c r="AU25" i="22"/>
  <c r="AQ31" i="22"/>
  <c r="AR29" i="22"/>
  <c r="J12" i="42"/>
  <c r="V34" i="42"/>
  <c r="V35" i="42" s="1"/>
  <c r="V33" i="42"/>
  <c r="V23" i="42"/>
  <c r="V24" i="42" s="1"/>
  <c r="V22" i="42"/>
  <c r="AT55" i="22" l="1"/>
  <c r="AS59" i="22"/>
  <c r="AS53" i="22"/>
  <c r="AR60" i="22"/>
  <c r="AR61" i="22" s="1"/>
  <c r="AT40" i="22"/>
  <c r="AS38" i="22"/>
  <c r="AR45" i="22"/>
  <c r="AR46" i="22" s="1"/>
  <c r="AR42" i="22"/>
  <c r="AS44" i="22"/>
  <c r="AR31" i="22"/>
  <c r="AS29" i="22"/>
  <c r="AV25" i="22"/>
  <c r="AT23" i="22"/>
  <c r="AS30" i="22"/>
  <c r="AS27" i="22"/>
  <c r="E21" i="22" s="1"/>
  <c r="J13" i="42"/>
  <c r="W34" i="42"/>
  <c r="W35" i="42" s="1"/>
  <c r="W33" i="42"/>
  <c r="W23" i="42"/>
  <c r="W24" i="42" s="1"/>
  <c r="W22" i="42"/>
  <c r="AT53" i="22" l="1"/>
  <c r="AT57" i="22" s="1"/>
  <c r="AS60" i="22"/>
  <c r="AS61" i="22" s="1"/>
  <c r="E52" i="22" s="1"/>
  <c r="AT59" i="22"/>
  <c r="AU55" i="22"/>
  <c r="AS57" i="22"/>
  <c r="E51" i="22" s="1"/>
  <c r="AT44" i="22"/>
  <c r="AT38" i="22"/>
  <c r="AT42" i="22" s="1"/>
  <c r="AS45" i="22"/>
  <c r="AS46" i="22" s="1"/>
  <c r="E37" i="22" s="1"/>
  <c r="AU40" i="22"/>
  <c r="AS42" i="22"/>
  <c r="E36" i="22" s="1"/>
  <c r="AU23" i="22"/>
  <c r="AT30" i="22"/>
  <c r="AT27" i="22"/>
  <c r="AW25" i="22"/>
  <c r="AS31" i="22"/>
  <c r="E22" i="22" s="1"/>
  <c r="AT29" i="22"/>
  <c r="K11" i="42"/>
  <c r="X34" i="42"/>
  <c r="X35" i="42" s="1"/>
  <c r="X33" i="42"/>
  <c r="X23" i="42"/>
  <c r="X24" i="42" s="1"/>
  <c r="X22" i="42"/>
  <c r="AU59" i="22" l="1"/>
  <c r="AV55" i="22"/>
  <c r="AU53" i="22"/>
  <c r="AT60" i="22"/>
  <c r="AT61" i="22" s="1"/>
  <c r="AV40" i="22"/>
  <c r="AU38" i="22"/>
  <c r="AT45" i="22"/>
  <c r="AT46" i="22" s="1"/>
  <c r="AU44" i="22"/>
  <c r="AX25" i="22"/>
  <c r="AT31" i="22"/>
  <c r="AU29" i="22"/>
  <c r="AV23" i="22"/>
  <c r="AU30" i="22"/>
  <c r="AU27" i="22"/>
  <c r="K12" i="42"/>
  <c r="Y33" i="42"/>
  <c r="Y34" i="42"/>
  <c r="Y35" i="42" s="1"/>
  <c r="Y23" i="42"/>
  <c r="Y24" i="42" s="1"/>
  <c r="Y22" i="42"/>
  <c r="AV53" i="22" l="1"/>
  <c r="AV57" i="22" s="1"/>
  <c r="AU60" i="22"/>
  <c r="AU61" i="22" s="1"/>
  <c r="AV59" i="22"/>
  <c r="AW55" i="22"/>
  <c r="AU57" i="22"/>
  <c r="AV44" i="22"/>
  <c r="AV38" i="22"/>
  <c r="AV42" i="22" s="1"/>
  <c r="AU45" i="22"/>
  <c r="AU46" i="22" s="1"/>
  <c r="AW40" i="22"/>
  <c r="AU42" i="22"/>
  <c r="AV30" i="22"/>
  <c r="AW23" i="22"/>
  <c r="AV27" i="22"/>
  <c r="AU31" i="22"/>
  <c r="AV29" i="22"/>
  <c r="AY25" i="22"/>
  <c r="K13" i="42"/>
  <c r="Z34" i="42"/>
  <c r="Z35" i="42" s="1"/>
  <c r="Z33" i="42"/>
  <c r="Z23" i="42"/>
  <c r="Z24" i="42" s="1"/>
  <c r="Z22" i="42"/>
  <c r="AW59" i="22" l="1"/>
  <c r="AX55" i="22"/>
  <c r="AV60" i="22"/>
  <c r="AV61" i="22" s="1"/>
  <c r="AW53" i="22"/>
  <c r="AX40" i="22"/>
  <c r="AV45" i="22"/>
  <c r="AV46" i="22" s="1"/>
  <c r="AW38" i="22"/>
  <c r="AW42" i="22" s="1"/>
  <c r="AW44" i="22"/>
  <c r="AZ25" i="22"/>
  <c r="AV31" i="22"/>
  <c r="AW29" i="22"/>
  <c r="AW30" i="22"/>
  <c r="AX23" i="22"/>
  <c r="AW27" i="22"/>
  <c r="L11" i="42"/>
  <c r="AA34" i="42"/>
  <c r="AA35" i="42" s="1"/>
  <c r="AA33" i="42"/>
  <c r="AA23" i="42"/>
  <c r="AA24" i="42" s="1"/>
  <c r="AA22" i="42"/>
  <c r="AW60" i="22" l="1"/>
  <c r="AW61" i="22" s="1"/>
  <c r="AX53" i="22"/>
  <c r="AX57" i="22" s="1"/>
  <c r="AW57" i="22"/>
  <c r="AY55" i="22"/>
  <c r="AX59" i="22"/>
  <c r="AX44" i="22"/>
  <c r="AY40" i="22"/>
  <c r="AW45" i="22"/>
  <c r="AW46" i="22" s="1"/>
  <c r="AX38" i="22"/>
  <c r="AW31" i="22"/>
  <c r="AX29" i="22"/>
  <c r="AX30" i="22"/>
  <c r="AY23" i="22"/>
  <c r="AX27" i="22"/>
  <c r="BA25" i="22"/>
  <c r="L12" i="42"/>
  <c r="AB34" i="42"/>
  <c r="AB35" i="42" s="1"/>
  <c r="AB33" i="42"/>
  <c r="AB23" i="42"/>
  <c r="AB24" i="42" s="1"/>
  <c r="AB22" i="42"/>
  <c r="AY59" i="22" l="1"/>
  <c r="AZ55" i="22"/>
  <c r="AX60" i="22"/>
  <c r="AX61" i="22" s="1"/>
  <c r="AY53" i="22"/>
  <c r="AY38" i="22"/>
  <c r="AY42" i="22" s="1"/>
  <c r="AX45" i="22"/>
  <c r="AX46" i="22" s="1"/>
  <c r="AX42" i="22"/>
  <c r="AZ40" i="22"/>
  <c r="AY44" i="22"/>
  <c r="AZ23" i="22"/>
  <c r="AY30" i="22"/>
  <c r="AY27" i="22"/>
  <c r="AX31" i="22"/>
  <c r="AY29" i="22"/>
  <c r="BB25" i="22"/>
  <c r="L13" i="42"/>
  <c r="AC34" i="42"/>
  <c r="AC35" i="42" s="1"/>
  <c r="AC33" i="42"/>
  <c r="AC22" i="42"/>
  <c r="AC23" i="42"/>
  <c r="AC24" i="42" s="1"/>
  <c r="BA55" i="22" l="1"/>
  <c r="AZ53" i="22"/>
  <c r="AY60" i="22"/>
  <c r="AY57" i="22"/>
  <c r="AY61" i="22"/>
  <c r="AZ59" i="22"/>
  <c r="AZ44" i="22"/>
  <c r="BA40" i="22"/>
  <c r="AZ38" i="22"/>
  <c r="AY45" i="22"/>
  <c r="AY46" i="22" s="1"/>
  <c r="BC25" i="22"/>
  <c r="AY31" i="22"/>
  <c r="AZ29" i="22"/>
  <c r="BA23" i="22"/>
  <c r="AZ30" i="22"/>
  <c r="AZ27" i="22"/>
  <c r="M11" i="42"/>
  <c r="AD34" i="42"/>
  <c r="AD35" i="42" s="1"/>
  <c r="AD33" i="42"/>
  <c r="AD23" i="42"/>
  <c r="AD24" i="42" s="1"/>
  <c r="AD22" i="42"/>
  <c r="BA53" i="22" l="1"/>
  <c r="AZ60" i="22"/>
  <c r="AZ61" i="22" s="1"/>
  <c r="BA59" i="22"/>
  <c r="AZ57" i="22"/>
  <c r="BB55" i="22"/>
  <c r="BA57" i="22"/>
  <c r="BA38" i="22"/>
  <c r="BA42" i="22" s="1"/>
  <c r="AZ45" i="22"/>
  <c r="AZ46" i="22" s="1"/>
  <c r="AZ42" i="22"/>
  <c r="BB40" i="22"/>
  <c r="BA44" i="22"/>
  <c r="BB23" i="22"/>
  <c r="BA30" i="22"/>
  <c r="BA27" i="22"/>
  <c r="AZ31" i="22"/>
  <c r="BA29" i="22"/>
  <c r="BD25" i="22"/>
  <c r="M12" i="42"/>
  <c r="AE34" i="42"/>
  <c r="AE35" i="42" s="1"/>
  <c r="AE33" i="42"/>
  <c r="AE23" i="42"/>
  <c r="AE24" i="42" s="1"/>
  <c r="AE22" i="42"/>
  <c r="BC55" i="22" l="1"/>
  <c r="BB59" i="22"/>
  <c r="BB53" i="22"/>
  <c r="BB57" i="22" s="1"/>
  <c r="BA60" i="22"/>
  <c r="BA61" i="22" s="1"/>
  <c r="BB44" i="22"/>
  <c r="BC40" i="22"/>
  <c r="BB38" i="22"/>
  <c r="BA45" i="22"/>
  <c r="BA46" i="22" s="1"/>
  <c r="BA31" i="22"/>
  <c r="BB29" i="22"/>
  <c r="BE25" i="22"/>
  <c r="BC23" i="22"/>
  <c r="BB30" i="22"/>
  <c r="BB27" i="22"/>
  <c r="M13" i="42"/>
  <c r="AF34" i="42"/>
  <c r="AF35" i="42" s="1"/>
  <c r="AF33" i="42"/>
  <c r="AF23" i="42"/>
  <c r="AF24" i="42" s="1"/>
  <c r="AF22" i="42"/>
  <c r="BC59" i="22" l="1"/>
  <c r="BC53" i="22"/>
  <c r="BC57" i="22" s="1"/>
  <c r="BB60" i="22"/>
  <c r="BB61" i="22" s="1"/>
  <c r="BD55" i="22"/>
  <c r="BC38" i="22"/>
  <c r="BC42" i="22" s="1"/>
  <c r="BB45" i="22"/>
  <c r="BB46" i="22" s="1"/>
  <c r="BD40" i="22"/>
  <c r="BB42" i="22"/>
  <c r="BC44" i="22"/>
  <c r="BD23" i="22"/>
  <c r="BC30" i="22"/>
  <c r="BC27" i="22"/>
  <c r="BF25" i="22"/>
  <c r="BB31" i="22"/>
  <c r="BC29" i="22"/>
  <c r="N11" i="42"/>
  <c r="AG33" i="42"/>
  <c r="AG34" i="42"/>
  <c r="AG35" i="42" s="1"/>
  <c r="AG23" i="42"/>
  <c r="AG24" i="42" s="1"/>
  <c r="AG22" i="42"/>
  <c r="BD53" i="22" l="1"/>
  <c r="BD57" i="22" s="1"/>
  <c r="BC60" i="22"/>
  <c r="BC61" i="22" s="1"/>
  <c r="BE55" i="22"/>
  <c r="BD59" i="22"/>
  <c r="BE40" i="22"/>
  <c r="BD44" i="22"/>
  <c r="BD38" i="22"/>
  <c r="BC45" i="22"/>
  <c r="BC46" i="22" s="1"/>
  <c r="BC31" i="22"/>
  <c r="BD29" i="22"/>
  <c r="BG25" i="22"/>
  <c r="BD30" i="22"/>
  <c r="BE23" i="22"/>
  <c r="BD27" i="22"/>
  <c r="N12" i="42"/>
  <c r="AH34" i="42"/>
  <c r="AH35" i="42" s="1"/>
  <c r="AH33" i="42"/>
  <c r="AH23" i="42"/>
  <c r="AH24" i="42" s="1"/>
  <c r="AH22" i="42"/>
  <c r="BF55" i="22" l="1"/>
  <c r="BE59" i="22"/>
  <c r="BD60" i="22"/>
  <c r="BD61" i="22" s="1"/>
  <c r="BE53" i="22"/>
  <c r="BD45" i="22"/>
  <c r="BE38" i="22"/>
  <c r="BE42" i="22" s="1"/>
  <c r="BD46" i="22"/>
  <c r="BE44" i="22"/>
  <c r="BF40" i="22"/>
  <c r="BD42" i="22"/>
  <c r="BE30" i="22"/>
  <c r="BF23" i="22"/>
  <c r="BE27" i="22"/>
  <c r="F21" i="22" s="1"/>
  <c r="BH25" i="22"/>
  <c r="BD31" i="22"/>
  <c r="BE29" i="22"/>
  <c r="N13" i="42"/>
  <c r="AI34" i="42"/>
  <c r="AI35" i="42" s="1"/>
  <c r="AI33" i="42"/>
  <c r="AI23" i="42"/>
  <c r="AI24" i="42" s="1"/>
  <c r="AI22" i="42"/>
  <c r="BE60" i="22" l="1"/>
  <c r="BE61" i="22" s="1"/>
  <c r="F52" i="22" s="1"/>
  <c r="BF53" i="22"/>
  <c r="BF57" i="22" s="1"/>
  <c r="BF59" i="22"/>
  <c r="BG55" i="22"/>
  <c r="BE57" i="22"/>
  <c r="F51" i="22" s="1"/>
  <c r="BG40" i="22"/>
  <c r="F36" i="22"/>
  <c r="BF44" i="22"/>
  <c r="BE45" i="22"/>
  <c r="BE46" i="22" s="1"/>
  <c r="F37" i="22" s="1"/>
  <c r="BF38" i="22"/>
  <c r="BF42" i="22" s="1"/>
  <c r="BE31" i="22"/>
  <c r="F22" i="22" s="1"/>
  <c r="BF29" i="22"/>
  <c r="BI25" i="22"/>
  <c r="BF30" i="22"/>
  <c r="BG23" i="22"/>
  <c r="BF27" i="22"/>
  <c r="O11" i="42"/>
  <c r="AJ34" i="42"/>
  <c r="AJ35" i="42" s="1"/>
  <c r="AJ33" i="42"/>
  <c r="AJ23" i="42"/>
  <c r="AJ24" i="42" s="1"/>
  <c r="AJ22" i="42"/>
  <c r="BH55" i="22" l="1"/>
  <c r="BG59" i="22"/>
  <c r="BF60" i="22"/>
  <c r="BF61" i="22" s="1"/>
  <c r="BG53" i="22"/>
  <c r="BG44" i="22"/>
  <c r="BG38" i="22"/>
  <c r="BG42" i="22" s="1"/>
  <c r="BF45" i="22"/>
  <c r="BF46" i="22" s="1"/>
  <c r="BH40" i="22"/>
  <c r="BH23" i="22"/>
  <c r="BG30" i="22"/>
  <c r="BG27" i="22"/>
  <c r="BJ25" i="22"/>
  <c r="BF31" i="22"/>
  <c r="BG29" i="22"/>
  <c r="O12" i="42"/>
  <c r="AK34" i="42"/>
  <c r="AK35" i="42" s="1"/>
  <c r="AK33" i="42"/>
  <c r="AK22" i="42"/>
  <c r="AK23" i="42"/>
  <c r="AK24" i="42" s="1"/>
  <c r="BG60" i="22" l="1"/>
  <c r="BH53" i="22"/>
  <c r="BG57" i="22"/>
  <c r="BG61" i="22"/>
  <c r="BH59" i="22"/>
  <c r="BI55" i="22"/>
  <c r="BH57" i="22"/>
  <c r="BI40" i="22"/>
  <c r="BH38" i="22"/>
  <c r="BG45" i="22"/>
  <c r="BG46" i="22" s="1"/>
  <c r="BH44" i="22"/>
  <c r="BG31" i="22"/>
  <c r="BH29" i="22"/>
  <c r="BK25" i="22"/>
  <c r="BI23" i="22"/>
  <c r="BH30" i="22"/>
  <c r="BH27" i="22"/>
  <c r="O13" i="42"/>
  <c r="AL34" i="42"/>
  <c r="AL35" i="42" s="1"/>
  <c r="AL33" i="42"/>
  <c r="AL23" i="42"/>
  <c r="AL24" i="42" s="1"/>
  <c r="AL22" i="42"/>
  <c r="BI59" i="22" l="1"/>
  <c r="BI53" i="22"/>
  <c r="BI57" i="22" s="1"/>
  <c r="BH60" i="22"/>
  <c r="BH61" i="22" s="1"/>
  <c r="BJ55" i="22"/>
  <c r="BI44" i="22"/>
  <c r="BI38" i="22"/>
  <c r="BI42" i="22" s="1"/>
  <c r="BH45" i="22"/>
  <c r="BH46" i="22" s="1"/>
  <c r="BH42" i="22"/>
  <c r="BJ40" i="22"/>
  <c r="BJ23" i="22"/>
  <c r="BI30" i="22"/>
  <c r="BI27" i="22"/>
  <c r="BH31" i="22"/>
  <c r="BI29" i="22"/>
  <c r="BL25" i="22"/>
  <c r="P11" i="42"/>
  <c r="AM34" i="42"/>
  <c r="AM35" i="42" s="1"/>
  <c r="AM33" i="42"/>
  <c r="AM23" i="42"/>
  <c r="AM24" i="42" s="1"/>
  <c r="AM22" i="42"/>
  <c r="BJ59" i="22" l="1"/>
  <c r="BK55" i="22"/>
  <c r="BJ53" i="22"/>
  <c r="BJ57" i="22" s="1"/>
  <c r="BI60" i="22"/>
  <c r="BI61" i="22" s="1"/>
  <c r="BK40" i="22"/>
  <c r="BJ44" i="22"/>
  <c r="BJ38" i="22"/>
  <c r="BI45" i="22"/>
  <c r="BI46" i="22" s="1"/>
  <c r="BK23" i="22"/>
  <c r="BJ30" i="22"/>
  <c r="BJ27" i="22"/>
  <c r="BI31" i="22"/>
  <c r="BJ29" i="22"/>
  <c r="BM25" i="22"/>
  <c r="P12" i="42"/>
  <c r="AN34" i="42"/>
  <c r="AN35" i="42" s="1"/>
  <c r="AN33" i="42"/>
  <c r="AN23" i="42"/>
  <c r="AN24" i="42" s="1"/>
  <c r="AN22" i="42"/>
  <c r="BL55" i="22" l="1"/>
  <c r="BK59" i="22"/>
  <c r="BK53" i="22"/>
  <c r="BJ60" i="22"/>
  <c r="BJ61" i="22" s="1"/>
  <c r="BK38" i="22"/>
  <c r="BK42" i="22" s="1"/>
  <c r="BJ45" i="22"/>
  <c r="BJ46" i="22"/>
  <c r="BK44" i="22"/>
  <c r="BL40" i="22"/>
  <c r="BJ42" i="22"/>
  <c r="BL23" i="22"/>
  <c r="BK30" i="22"/>
  <c r="BK27" i="22"/>
  <c r="BK29" i="22"/>
  <c r="BJ31" i="22"/>
  <c r="BN25" i="22"/>
  <c r="P13" i="42"/>
  <c r="AO33" i="42"/>
  <c r="AO34" i="42"/>
  <c r="AO35" i="42" s="1"/>
  <c r="AO23" i="42"/>
  <c r="AO24" i="42" s="1"/>
  <c r="AO22" i="42"/>
  <c r="BL53" i="22" l="1"/>
  <c r="BL57" i="22" s="1"/>
  <c r="BK60" i="22"/>
  <c r="BK57" i="22"/>
  <c r="BK61" i="22"/>
  <c r="BL59" i="22"/>
  <c r="BM55" i="22"/>
  <c r="BM40" i="22"/>
  <c r="BL44" i="22"/>
  <c r="BL38" i="22"/>
  <c r="BK45" i="22"/>
  <c r="BK46" i="22" s="1"/>
  <c r="BO25" i="22"/>
  <c r="BK31" i="22"/>
  <c r="BL29" i="22"/>
  <c r="BL30" i="22"/>
  <c r="BM23" i="22"/>
  <c r="BL27" i="22"/>
  <c r="Q11" i="42"/>
  <c r="AP34" i="42"/>
  <c r="AP35" i="42" s="1"/>
  <c r="AP33" i="42"/>
  <c r="AP23" i="42"/>
  <c r="AP24" i="42" s="1"/>
  <c r="AP22" i="42"/>
  <c r="BN55" i="22" l="1"/>
  <c r="BM59" i="22"/>
  <c r="BL60" i="22"/>
  <c r="BL61" i="22" s="1"/>
  <c r="BM53" i="22"/>
  <c r="BL45" i="22"/>
  <c r="BL46" i="22" s="1"/>
  <c r="BM38" i="22"/>
  <c r="BM42" i="22" s="1"/>
  <c r="BN40" i="22"/>
  <c r="BM44" i="22"/>
  <c r="BL42" i="22"/>
  <c r="BM30" i="22"/>
  <c r="BN23" i="22"/>
  <c r="BM27" i="22"/>
  <c r="BP25" i="22"/>
  <c r="BL31" i="22"/>
  <c r="BM29" i="22"/>
  <c r="Q12" i="42"/>
  <c r="AQ34" i="42"/>
  <c r="AQ35" i="42" s="1"/>
  <c r="AQ33" i="42"/>
  <c r="AQ23" i="42"/>
  <c r="AQ24" i="42" s="1"/>
  <c r="AQ22" i="42"/>
  <c r="BM60" i="22" l="1"/>
  <c r="BN53" i="22"/>
  <c r="BN57" i="22" s="1"/>
  <c r="BM61" i="22"/>
  <c r="BN59" i="22"/>
  <c r="BO55" i="22"/>
  <c r="BM57" i="22"/>
  <c r="BN44" i="22"/>
  <c r="BO40" i="22"/>
  <c r="BM45" i="22"/>
  <c r="BM46" i="22" s="1"/>
  <c r="BN38" i="22"/>
  <c r="BN42" i="22" s="1"/>
  <c r="BQ25" i="22"/>
  <c r="BM31" i="22"/>
  <c r="BN29" i="22"/>
  <c r="BN30" i="22"/>
  <c r="BO23" i="22"/>
  <c r="BN27" i="22"/>
  <c r="Q13" i="42"/>
  <c r="AR34" i="42"/>
  <c r="AR35" i="42" s="1"/>
  <c r="AR33" i="42"/>
  <c r="AR23" i="42"/>
  <c r="AR24" i="42" s="1"/>
  <c r="AR22" i="42"/>
  <c r="BP55" i="22" l="1"/>
  <c r="BO59" i="22"/>
  <c r="BO53" i="22"/>
  <c r="BN60" i="22"/>
  <c r="BN61" i="22" s="1"/>
  <c r="BP40" i="22"/>
  <c r="BO44" i="22"/>
  <c r="BO38" i="22"/>
  <c r="BO42" i="22" s="1"/>
  <c r="BN45" i="22"/>
  <c r="BN46" i="22" s="1"/>
  <c r="BP23" i="22"/>
  <c r="BO30" i="22"/>
  <c r="BO27" i="22"/>
  <c r="BN31" i="22"/>
  <c r="BO29" i="22"/>
  <c r="R11" i="42"/>
  <c r="AS34" i="42"/>
  <c r="AS35" i="42" s="1"/>
  <c r="AS33" i="42"/>
  <c r="AS22" i="42"/>
  <c r="AS23" i="42"/>
  <c r="AS24" i="42" s="1"/>
  <c r="BP53" i="22" l="1"/>
  <c r="BO60" i="22"/>
  <c r="BO61" i="22" s="1"/>
  <c r="BP59" i="22"/>
  <c r="BO57" i="22"/>
  <c r="BQ55" i="22"/>
  <c r="BP57" i="22"/>
  <c r="BP44" i="22"/>
  <c r="BP38" i="22"/>
  <c r="BP42" i="22" s="1"/>
  <c r="BO45" i="22"/>
  <c r="BO46" i="22" s="1"/>
  <c r="BQ40" i="22"/>
  <c r="BO31" i="22"/>
  <c r="BP29" i="22"/>
  <c r="BQ23" i="22"/>
  <c r="BP30" i="22"/>
  <c r="BP27" i="22"/>
  <c r="R12" i="42"/>
  <c r="AT34" i="42"/>
  <c r="AT35" i="42" s="1"/>
  <c r="AT33" i="42"/>
  <c r="AT23" i="42"/>
  <c r="AT24" i="42" s="1"/>
  <c r="AT22" i="42"/>
  <c r="BQ59" i="22" l="1"/>
  <c r="BQ53" i="22"/>
  <c r="BQ60" i="22" s="1"/>
  <c r="BP60" i="22"/>
  <c r="BP61" i="22" s="1"/>
  <c r="BQ38" i="22"/>
  <c r="BQ45" i="22" s="1"/>
  <c r="BP45" i="22"/>
  <c r="BP46" i="22" s="1"/>
  <c r="BQ44" i="22"/>
  <c r="BP31" i="22"/>
  <c r="BQ29" i="22"/>
  <c r="BQ30" i="22"/>
  <c r="BQ27" i="22"/>
  <c r="G21" i="22" s="1"/>
  <c r="R13" i="42"/>
  <c r="AU34" i="42"/>
  <c r="AU35" i="42" s="1"/>
  <c r="AU33" i="42"/>
  <c r="AU23" i="42"/>
  <c r="AU24" i="42" s="1"/>
  <c r="AU22" i="42"/>
  <c r="BQ42" i="22" l="1"/>
  <c r="G36" i="22" s="1"/>
  <c r="BQ46" i="22"/>
  <c r="G37" i="22" s="1"/>
  <c r="BQ61" i="22"/>
  <c r="G52" i="22" s="1"/>
  <c r="BQ57" i="22"/>
  <c r="G51" i="22" s="1"/>
  <c r="BQ31" i="22"/>
  <c r="G22" i="22" s="1"/>
  <c r="S11" i="42"/>
  <c r="AV34" i="42"/>
  <c r="AV35" i="42" s="1"/>
  <c r="AV33" i="42"/>
  <c r="AV23" i="42"/>
  <c r="AV24" i="42" s="1"/>
  <c r="AV22" i="42"/>
  <c r="S12" i="42" l="1"/>
  <c r="AW34" i="42"/>
  <c r="AW35" i="42" s="1"/>
  <c r="AW33" i="42"/>
  <c r="AW23" i="42"/>
  <c r="AW24" i="42" s="1"/>
  <c r="AW22" i="42"/>
  <c r="S13" i="42" l="1"/>
  <c r="AX34" i="42"/>
  <c r="AX35" i="42" s="1"/>
  <c r="AX33" i="42"/>
  <c r="AX23" i="42"/>
  <c r="AX24" i="42" s="1"/>
  <c r="AX22" i="42"/>
  <c r="T11" i="42" l="1"/>
  <c r="AY34" i="42"/>
  <c r="AY35" i="42" s="1"/>
  <c r="AY33" i="42"/>
  <c r="AY23" i="42"/>
  <c r="AY24" i="42" s="1"/>
  <c r="AY22" i="42"/>
  <c r="T12" i="42" l="1"/>
  <c r="AZ34" i="42"/>
  <c r="AZ35" i="42" s="1"/>
  <c r="AZ33" i="42"/>
  <c r="AZ23" i="42"/>
  <c r="AZ24" i="42" s="1"/>
  <c r="AZ22" i="42"/>
  <c r="T13" i="42" l="1"/>
  <c r="BA34" i="42"/>
  <c r="BA35" i="42" s="1"/>
  <c r="BA33" i="42"/>
  <c r="BA23" i="42"/>
  <c r="BA24" i="42" s="1"/>
  <c r="BA22" i="42"/>
  <c r="U11" i="42" l="1"/>
  <c r="BB34" i="42"/>
  <c r="BB35" i="42" s="1"/>
  <c r="BB33" i="42"/>
  <c r="BB23" i="42"/>
  <c r="BB24" i="42" s="1"/>
  <c r="BB22" i="42"/>
  <c r="U12" i="42" l="1"/>
  <c r="BC34" i="42"/>
  <c r="BC35" i="42" s="1"/>
  <c r="BC33" i="42"/>
  <c r="BC23" i="42"/>
  <c r="BC24" i="42" s="1"/>
  <c r="BC22" i="42"/>
  <c r="U13" i="42" l="1"/>
  <c r="BD34" i="42"/>
  <c r="BD35" i="42" s="1"/>
  <c r="BD33" i="42"/>
  <c r="BD23" i="42"/>
  <c r="BD24" i="42" s="1"/>
  <c r="BD22" i="42"/>
  <c r="V11" i="42" l="1"/>
  <c r="BE33" i="42"/>
  <c r="BE34" i="42"/>
  <c r="BE35" i="42" s="1"/>
  <c r="BE23" i="42"/>
  <c r="BE24" i="42" s="1"/>
  <c r="BE22" i="42"/>
  <c r="V12" i="42" l="1"/>
  <c r="BF34" i="42"/>
  <c r="BF35" i="42" s="1"/>
  <c r="BF33" i="42"/>
  <c r="BF23" i="42"/>
  <c r="BF24" i="42" s="1"/>
  <c r="BF22" i="42"/>
  <c r="V13" i="42" l="1"/>
  <c r="BG34" i="42"/>
  <c r="BG35" i="42" s="1"/>
  <c r="BG33" i="42"/>
  <c r="BG23" i="42"/>
  <c r="BG24" i="42" s="1"/>
  <c r="BG22" i="42"/>
  <c r="W11" i="42" l="1"/>
  <c r="BH34" i="42"/>
  <c r="BH35" i="42" s="1"/>
  <c r="BH33" i="42"/>
  <c r="BH23" i="42"/>
  <c r="BH24" i="42" s="1"/>
  <c r="BH22" i="42"/>
  <c r="W12" i="42" l="1"/>
  <c r="BI34" i="42"/>
  <c r="BI35" i="42" s="1"/>
  <c r="BI33" i="42"/>
  <c r="BI23" i="42"/>
  <c r="BI24" i="42" s="1"/>
  <c r="BI22" i="42"/>
  <c r="W13" i="42" l="1"/>
  <c r="BJ34" i="42"/>
  <c r="BJ35" i="42" s="1"/>
  <c r="BJ33" i="42"/>
  <c r="BJ23" i="42"/>
  <c r="BJ24" i="42" s="1"/>
  <c r="BJ22" i="42"/>
  <c r="X11" i="42" l="1"/>
  <c r="X12" i="42"/>
  <c r="BK34" i="42"/>
  <c r="BK35" i="42" s="1"/>
  <c r="BK33" i="42"/>
  <c r="BK23" i="42"/>
  <c r="BK24" i="42" s="1"/>
  <c r="BK22" i="42"/>
  <c r="X13" i="42" l="1"/>
  <c r="Y11" i="42" l="1"/>
  <c r="Y12" i="42" l="1"/>
  <c r="Y13" i="42" l="1"/>
  <c r="Z11" i="42" l="1"/>
  <c r="Z12" i="42" l="1"/>
  <c r="Z13" i="42" l="1"/>
  <c r="AA11" i="42" l="1"/>
  <c r="AA12" i="42" l="1"/>
  <c r="AA13" i="42" l="1"/>
  <c r="AB11" i="42" l="1"/>
  <c r="AB12" i="42" l="1"/>
  <c r="AB13" i="42" l="1"/>
  <c r="AC11" i="42" l="1"/>
  <c r="AC12" i="42" l="1"/>
  <c r="AC13" i="42" l="1"/>
  <c r="AD11" i="42" l="1"/>
  <c r="AD12" i="42" l="1"/>
  <c r="AD13" i="42" l="1"/>
  <c r="AE11" i="42" l="1"/>
  <c r="AE12" i="42" l="1"/>
  <c r="AE13" i="42" l="1"/>
  <c r="AF11" i="42" l="1"/>
  <c r="AF12" i="42" l="1"/>
  <c r="AF13" i="42" l="1"/>
  <c r="AG11" i="42" l="1"/>
  <c r="AG12" i="42" l="1"/>
  <c r="AG13" i="42" l="1"/>
  <c r="AH11" i="42" l="1"/>
  <c r="AH12" i="42" l="1"/>
  <c r="AH13" i="42" l="1"/>
  <c r="AI11" i="42" l="1"/>
  <c r="AI12" i="42" l="1"/>
  <c r="AI13" i="42" l="1"/>
  <c r="AJ11" i="42" l="1"/>
  <c r="AJ12" i="42" l="1"/>
  <c r="AJ13" i="42" l="1"/>
  <c r="AK11" i="42" l="1"/>
  <c r="AK12" i="42" l="1"/>
  <c r="AK13" i="42" l="1"/>
  <c r="AL11" i="42" l="1"/>
  <c r="AL12" i="42" l="1"/>
  <c r="AL13" i="42" l="1"/>
  <c r="AM11" i="42" l="1"/>
  <c r="AM12" i="42" l="1"/>
  <c r="AM13" i="42" l="1"/>
  <c r="AN11" i="42" l="1"/>
  <c r="AN12" i="42" l="1"/>
  <c r="AN13" i="42" l="1"/>
  <c r="AO11" i="42" l="1"/>
  <c r="AO12" i="42" l="1"/>
  <c r="AO13" i="42" l="1"/>
  <c r="AP11" i="42" l="1"/>
  <c r="AP12" i="42" l="1"/>
  <c r="AP13" i="42" l="1"/>
  <c r="AQ11" i="42" l="1"/>
  <c r="AQ12" i="42" l="1"/>
  <c r="AQ13" i="42" l="1"/>
  <c r="AR11" i="42" l="1"/>
  <c r="AR12" i="42" l="1"/>
  <c r="AR13" i="42" l="1"/>
  <c r="AS11" i="42" l="1"/>
  <c r="AS12" i="42" l="1"/>
  <c r="AS13" i="42" l="1"/>
  <c r="AT11" i="42" l="1"/>
  <c r="AT12" i="42" l="1"/>
  <c r="AT13" i="42" l="1"/>
  <c r="AU11" i="42" l="1"/>
  <c r="AU12" i="42" l="1"/>
  <c r="AU13" i="42" l="1"/>
  <c r="AV11" i="42" l="1"/>
  <c r="AV12" i="42" l="1"/>
  <c r="AV13" i="42" l="1"/>
  <c r="AW11" i="42" l="1"/>
  <c r="AW12" i="42" l="1"/>
  <c r="AW13" i="42" l="1"/>
  <c r="AX11" i="42" l="1"/>
  <c r="AX12" i="42" l="1"/>
  <c r="AX13" i="42" l="1"/>
  <c r="AY11" i="42" l="1"/>
  <c r="AY12" i="42" l="1"/>
  <c r="AY13" i="42" l="1"/>
  <c r="AZ11" i="42" l="1"/>
  <c r="AZ12" i="42"/>
  <c r="AZ13" i="42" l="1"/>
  <c r="BA11" i="42" l="1"/>
  <c r="BA12" i="42" l="1"/>
  <c r="BA13" i="42" l="1"/>
  <c r="BB11" i="42" l="1"/>
  <c r="BB12" i="42" l="1"/>
  <c r="BB13" i="42" l="1"/>
  <c r="BC11" i="42" l="1"/>
  <c r="BC12" i="42" l="1"/>
  <c r="BC13" i="42" l="1"/>
  <c r="BD11" i="42" l="1"/>
  <c r="BD12" i="42" l="1"/>
  <c r="BD13" i="42" l="1"/>
  <c r="BE11" i="42" l="1"/>
  <c r="BE12" i="42" l="1"/>
  <c r="BE13" i="42" l="1"/>
  <c r="BF11" i="42" l="1"/>
  <c r="BF12" i="42" l="1"/>
  <c r="BF13" i="42" l="1"/>
  <c r="BG11" i="42" l="1"/>
  <c r="BG12" i="42" l="1"/>
  <c r="BG13" i="42" l="1"/>
  <c r="BH11" i="42" l="1"/>
  <c r="BH12" i="42"/>
  <c r="BH13" i="42" l="1"/>
  <c r="BI11" i="42" l="1"/>
  <c r="BI12" i="42" l="1"/>
  <c r="BI13" i="42" l="1"/>
  <c r="BJ11" i="42" l="1"/>
  <c r="BJ12" i="42" l="1"/>
  <c r="BJ13" i="42" l="1"/>
  <c r="BK11" i="42" l="1"/>
  <c r="BK12" i="42" l="1"/>
  <c r="BK13" i="42" l="1"/>
  <c r="E27" i="51" l="1"/>
  <c r="C41" i="42" l="1"/>
  <c r="C39" i="42"/>
  <c r="C38" i="42"/>
  <c r="C40" i="42" l="1"/>
  <c r="F23" i="21"/>
  <c r="C25" i="53"/>
  <c r="C21" i="53"/>
  <c r="C14" i="53"/>
  <c r="C42" i="42" l="1"/>
  <c r="D44" i="42"/>
  <c r="C61" i="36" s="1"/>
  <c r="C26" i="53"/>
  <c r="C29" i="53" s="1"/>
  <c r="D45" i="42" l="1"/>
  <c r="O65" i="2"/>
  <c r="P65" i="2" s="1"/>
  <c r="Q65" i="2" s="1"/>
  <c r="R65" i="2" s="1"/>
  <c r="S65" i="2" s="1"/>
  <c r="T65" i="2" s="1"/>
  <c r="U65" i="2" s="1"/>
  <c r="V65" i="2" s="1"/>
  <c r="W65" i="2" s="1"/>
  <c r="X65" i="2" s="1"/>
  <c r="Y65" i="2" s="1"/>
  <c r="Z65" i="2" s="1"/>
  <c r="AA65" i="2" s="1"/>
  <c r="AB65" i="2" s="1"/>
  <c r="AC65" i="2" s="1"/>
  <c r="AD65" i="2" s="1"/>
  <c r="AE65" i="2" s="1"/>
  <c r="AF65" i="2" s="1"/>
  <c r="AG65" i="2" s="1"/>
  <c r="AH65" i="2" s="1"/>
  <c r="AI65" i="2" s="1"/>
  <c r="AJ65" i="2" s="1"/>
  <c r="AK65" i="2" s="1"/>
  <c r="AL65" i="2" s="1"/>
  <c r="AM65" i="2" s="1"/>
  <c r="AN65" i="2" s="1"/>
  <c r="AO65" i="2" s="1"/>
  <c r="AP65" i="2" s="1"/>
  <c r="AQ65" i="2" s="1"/>
  <c r="AR65" i="2" s="1"/>
  <c r="AS65" i="2" s="1"/>
  <c r="AT65" i="2" s="1"/>
  <c r="AU65" i="2" s="1"/>
  <c r="AV65" i="2" s="1"/>
  <c r="AW65" i="2" s="1"/>
  <c r="AX65" i="2" s="1"/>
  <c r="AY65" i="2" s="1"/>
  <c r="AZ65" i="2" s="1"/>
  <c r="BA65" i="2" s="1"/>
  <c r="BB65" i="2" s="1"/>
  <c r="BC65" i="2" s="1"/>
  <c r="BD65" i="2" s="1"/>
  <c r="BE65" i="2" s="1"/>
  <c r="BF65" i="2" s="1"/>
  <c r="BG65" i="2" s="1"/>
  <c r="BH65" i="2" s="1"/>
  <c r="BI65" i="2" s="1"/>
  <c r="BJ65" i="2" s="1"/>
  <c r="BK65" i="2" s="1"/>
  <c r="BL65" i="2" s="1"/>
  <c r="BM65" i="2" s="1"/>
  <c r="BN65" i="2" s="1"/>
  <c r="BO65" i="2" s="1"/>
  <c r="BP65" i="2" s="1"/>
  <c r="BQ65" i="2" s="1"/>
  <c r="BR65" i="2" s="1"/>
  <c r="BS65" i="2" s="1"/>
  <c r="BT65" i="2" s="1"/>
  <c r="BU65" i="2" s="1"/>
  <c r="BV65" i="2" s="1"/>
  <c r="O64" i="2"/>
  <c r="P64" i="2" s="1"/>
  <c r="Q64" i="2" s="1"/>
  <c r="R64" i="2" s="1"/>
  <c r="S64" i="2" s="1"/>
  <c r="T64" i="2" s="1"/>
  <c r="U64" i="2" s="1"/>
  <c r="V64" i="2" s="1"/>
  <c r="W64" i="2" s="1"/>
  <c r="X64" i="2" s="1"/>
  <c r="Y64" i="2" s="1"/>
  <c r="Z64" i="2" s="1"/>
  <c r="AA64" i="2" s="1"/>
  <c r="AB64" i="2" s="1"/>
  <c r="AC64" i="2" s="1"/>
  <c r="AD64" i="2" s="1"/>
  <c r="AE64" i="2" s="1"/>
  <c r="AF64" i="2" s="1"/>
  <c r="AG64" i="2" s="1"/>
  <c r="AH64" i="2" s="1"/>
  <c r="AI64" i="2" s="1"/>
  <c r="AJ64" i="2" s="1"/>
  <c r="AK64" i="2" s="1"/>
  <c r="AL64" i="2" s="1"/>
  <c r="AM64" i="2" s="1"/>
  <c r="AN64" i="2" s="1"/>
  <c r="AO64" i="2" s="1"/>
  <c r="AP64" i="2" s="1"/>
  <c r="AQ64" i="2" s="1"/>
  <c r="AR64" i="2" s="1"/>
  <c r="AS64" i="2" s="1"/>
  <c r="AT64" i="2" s="1"/>
  <c r="AU64" i="2" s="1"/>
  <c r="AV64" i="2" s="1"/>
  <c r="AW64" i="2" s="1"/>
  <c r="AX64" i="2" s="1"/>
  <c r="AY64" i="2" s="1"/>
  <c r="AZ64" i="2" s="1"/>
  <c r="BA64" i="2" s="1"/>
  <c r="BB64" i="2" s="1"/>
  <c r="BC64" i="2" s="1"/>
  <c r="BD64" i="2" s="1"/>
  <c r="BE64" i="2" s="1"/>
  <c r="BF64" i="2" s="1"/>
  <c r="BG64" i="2" s="1"/>
  <c r="BH64" i="2" s="1"/>
  <c r="BI64" i="2" s="1"/>
  <c r="BJ64" i="2" s="1"/>
  <c r="BK64" i="2" s="1"/>
  <c r="BL64" i="2" s="1"/>
  <c r="BM64" i="2" s="1"/>
  <c r="BN64" i="2" s="1"/>
  <c r="BO64" i="2" s="1"/>
  <c r="BP64" i="2" s="1"/>
  <c r="BQ64" i="2" s="1"/>
  <c r="BR64" i="2" s="1"/>
  <c r="BS64" i="2" s="1"/>
  <c r="BT64" i="2" s="1"/>
  <c r="BU64" i="2" s="1"/>
  <c r="BV64" i="2" s="1"/>
  <c r="O63" i="2"/>
  <c r="P63" i="2" s="1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AA63" i="2" s="1"/>
  <c r="AB63" i="2" s="1"/>
  <c r="AC63" i="2" s="1"/>
  <c r="AD63" i="2" s="1"/>
  <c r="AE63" i="2" s="1"/>
  <c r="AF63" i="2" s="1"/>
  <c r="AG63" i="2" s="1"/>
  <c r="AH63" i="2" s="1"/>
  <c r="AI63" i="2" s="1"/>
  <c r="AJ63" i="2" s="1"/>
  <c r="AK63" i="2" s="1"/>
  <c r="AL63" i="2" s="1"/>
  <c r="AM63" i="2" s="1"/>
  <c r="AN63" i="2" s="1"/>
  <c r="AO63" i="2" s="1"/>
  <c r="AP63" i="2" s="1"/>
  <c r="AQ63" i="2" s="1"/>
  <c r="AR63" i="2" s="1"/>
  <c r="AS63" i="2" s="1"/>
  <c r="AT63" i="2" s="1"/>
  <c r="AU63" i="2" s="1"/>
  <c r="AV63" i="2" s="1"/>
  <c r="AW63" i="2" s="1"/>
  <c r="AX63" i="2" s="1"/>
  <c r="AY63" i="2" s="1"/>
  <c r="AZ63" i="2" s="1"/>
  <c r="BA63" i="2" s="1"/>
  <c r="BB63" i="2" s="1"/>
  <c r="BC63" i="2" s="1"/>
  <c r="BD63" i="2" s="1"/>
  <c r="BE63" i="2" s="1"/>
  <c r="BF63" i="2" s="1"/>
  <c r="BG63" i="2" s="1"/>
  <c r="BH63" i="2" s="1"/>
  <c r="BI63" i="2" s="1"/>
  <c r="BJ63" i="2" s="1"/>
  <c r="BK63" i="2" s="1"/>
  <c r="BL63" i="2" s="1"/>
  <c r="BM63" i="2" s="1"/>
  <c r="BN63" i="2" s="1"/>
  <c r="BO63" i="2" s="1"/>
  <c r="BP63" i="2" s="1"/>
  <c r="BQ63" i="2" s="1"/>
  <c r="BR63" i="2" s="1"/>
  <c r="BS63" i="2" s="1"/>
  <c r="BT63" i="2" s="1"/>
  <c r="BU63" i="2" s="1"/>
  <c r="BV63" i="2" s="1"/>
  <c r="O62" i="2"/>
  <c r="P62" i="2" s="1"/>
  <c r="Q62" i="2" s="1"/>
  <c r="R62" i="2" s="1"/>
  <c r="S62" i="2" s="1"/>
  <c r="T62" i="2" s="1"/>
  <c r="U62" i="2" s="1"/>
  <c r="V62" i="2" s="1"/>
  <c r="W62" i="2" s="1"/>
  <c r="X62" i="2" s="1"/>
  <c r="Y62" i="2" s="1"/>
  <c r="Z62" i="2" s="1"/>
  <c r="AA62" i="2" s="1"/>
  <c r="AB62" i="2" s="1"/>
  <c r="AC62" i="2" s="1"/>
  <c r="AD62" i="2" s="1"/>
  <c r="AE62" i="2" s="1"/>
  <c r="AF62" i="2" s="1"/>
  <c r="AG62" i="2" s="1"/>
  <c r="AH62" i="2" s="1"/>
  <c r="AI62" i="2" s="1"/>
  <c r="AJ62" i="2" s="1"/>
  <c r="AK62" i="2" s="1"/>
  <c r="AL62" i="2" s="1"/>
  <c r="AM62" i="2" s="1"/>
  <c r="AN62" i="2" s="1"/>
  <c r="AO62" i="2" s="1"/>
  <c r="AP62" i="2" s="1"/>
  <c r="AQ62" i="2" s="1"/>
  <c r="AR62" i="2" s="1"/>
  <c r="AS62" i="2" s="1"/>
  <c r="AT62" i="2" s="1"/>
  <c r="AU62" i="2" s="1"/>
  <c r="AV62" i="2" s="1"/>
  <c r="AW62" i="2" s="1"/>
  <c r="AX62" i="2" s="1"/>
  <c r="AY62" i="2" s="1"/>
  <c r="AZ62" i="2" s="1"/>
  <c r="BA62" i="2" s="1"/>
  <c r="BB62" i="2" s="1"/>
  <c r="BC62" i="2" s="1"/>
  <c r="BD62" i="2" s="1"/>
  <c r="BE62" i="2" s="1"/>
  <c r="BF62" i="2" s="1"/>
  <c r="BG62" i="2" s="1"/>
  <c r="BH62" i="2" s="1"/>
  <c r="BI62" i="2" s="1"/>
  <c r="BJ62" i="2" s="1"/>
  <c r="BK62" i="2" s="1"/>
  <c r="BL62" i="2" s="1"/>
  <c r="BM62" i="2" s="1"/>
  <c r="BN62" i="2" s="1"/>
  <c r="BO62" i="2" s="1"/>
  <c r="BP62" i="2" s="1"/>
  <c r="BQ62" i="2" s="1"/>
  <c r="BR62" i="2" s="1"/>
  <c r="BS62" i="2" s="1"/>
  <c r="BT62" i="2" s="1"/>
  <c r="BU62" i="2" s="1"/>
  <c r="BV62" i="2" s="1"/>
  <c r="O61" i="2"/>
  <c r="P61" i="2" s="1"/>
  <c r="Q61" i="2" s="1"/>
  <c r="R61" i="2" s="1"/>
  <c r="S61" i="2" s="1"/>
  <c r="T61" i="2" s="1"/>
  <c r="U61" i="2" s="1"/>
  <c r="V61" i="2" s="1"/>
  <c r="W61" i="2" s="1"/>
  <c r="X61" i="2" s="1"/>
  <c r="Y61" i="2" s="1"/>
  <c r="Z61" i="2" s="1"/>
  <c r="AA61" i="2" s="1"/>
  <c r="AB61" i="2" s="1"/>
  <c r="AC61" i="2" s="1"/>
  <c r="AD61" i="2" s="1"/>
  <c r="AE61" i="2" s="1"/>
  <c r="AF61" i="2" s="1"/>
  <c r="AG61" i="2" s="1"/>
  <c r="AH61" i="2" s="1"/>
  <c r="AI61" i="2" s="1"/>
  <c r="AJ61" i="2" s="1"/>
  <c r="AK61" i="2" s="1"/>
  <c r="AL61" i="2" s="1"/>
  <c r="AM61" i="2" s="1"/>
  <c r="AN61" i="2" s="1"/>
  <c r="AO61" i="2" s="1"/>
  <c r="AP61" i="2" s="1"/>
  <c r="AQ61" i="2" s="1"/>
  <c r="AR61" i="2" s="1"/>
  <c r="AS61" i="2" s="1"/>
  <c r="AT61" i="2" s="1"/>
  <c r="AU61" i="2" s="1"/>
  <c r="AV61" i="2" s="1"/>
  <c r="AW61" i="2" s="1"/>
  <c r="AX61" i="2" s="1"/>
  <c r="AY61" i="2" s="1"/>
  <c r="AZ61" i="2" s="1"/>
  <c r="BA61" i="2" s="1"/>
  <c r="BB61" i="2" s="1"/>
  <c r="BC61" i="2" s="1"/>
  <c r="BD61" i="2" s="1"/>
  <c r="BE61" i="2" s="1"/>
  <c r="BF61" i="2" s="1"/>
  <c r="BG61" i="2" s="1"/>
  <c r="BH61" i="2" s="1"/>
  <c r="BI61" i="2" s="1"/>
  <c r="BJ61" i="2" s="1"/>
  <c r="BK61" i="2" s="1"/>
  <c r="BL61" i="2" s="1"/>
  <c r="BM61" i="2" s="1"/>
  <c r="BN61" i="2" s="1"/>
  <c r="BO61" i="2" s="1"/>
  <c r="BP61" i="2" s="1"/>
  <c r="BQ61" i="2" s="1"/>
  <c r="BR61" i="2" s="1"/>
  <c r="BS61" i="2" s="1"/>
  <c r="BT61" i="2" s="1"/>
  <c r="BU61" i="2" s="1"/>
  <c r="BV61" i="2" s="1"/>
  <c r="O60" i="2"/>
  <c r="P60" i="2" s="1"/>
  <c r="Q60" i="2" s="1"/>
  <c r="R60" i="2" s="1"/>
  <c r="S60" i="2" s="1"/>
  <c r="T60" i="2" s="1"/>
  <c r="U60" i="2" s="1"/>
  <c r="V60" i="2" s="1"/>
  <c r="W60" i="2" s="1"/>
  <c r="X60" i="2" s="1"/>
  <c r="Y60" i="2" s="1"/>
  <c r="Z60" i="2" s="1"/>
  <c r="AA60" i="2" s="1"/>
  <c r="AB60" i="2" s="1"/>
  <c r="AC60" i="2" s="1"/>
  <c r="AD60" i="2" s="1"/>
  <c r="AE60" i="2" s="1"/>
  <c r="AF60" i="2" s="1"/>
  <c r="AG60" i="2" s="1"/>
  <c r="AH60" i="2" s="1"/>
  <c r="AI60" i="2" s="1"/>
  <c r="AJ60" i="2" s="1"/>
  <c r="AK60" i="2" s="1"/>
  <c r="AL60" i="2" s="1"/>
  <c r="AM60" i="2" s="1"/>
  <c r="AN60" i="2" s="1"/>
  <c r="AO60" i="2" s="1"/>
  <c r="AP60" i="2" s="1"/>
  <c r="AQ60" i="2" s="1"/>
  <c r="AR60" i="2" s="1"/>
  <c r="AS60" i="2" s="1"/>
  <c r="AT60" i="2" s="1"/>
  <c r="AU60" i="2" s="1"/>
  <c r="AV60" i="2" s="1"/>
  <c r="AW60" i="2" s="1"/>
  <c r="AX60" i="2" s="1"/>
  <c r="AY60" i="2" s="1"/>
  <c r="AZ60" i="2" s="1"/>
  <c r="BA60" i="2" s="1"/>
  <c r="BB60" i="2" s="1"/>
  <c r="BC60" i="2" s="1"/>
  <c r="BD60" i="2" s="1"/>
  <c r="BE60" i="2" s="1"/>
  <c r="BF60" i="2" s="1"/>
  <c r="BG60" i="2" s="1"/>
  <c r="BH60" i="2" s="1"/>
  <c r="BI60" i="2" s="1"/>
  <c r="BJ60" i="2" s="1"/>
  <c r="BK60" i="2" s="1"/>
  <c r="BL60" i="2" s="1"/>
  <c r="BM60" i="2" s="1"/>
  <c r="BN60" i="2" s="1"/>
  <c r="BO60" i="2" s="1"/>
  <c r="BP60" i="2" s="1"/>
  <c r="BQ60" i="2" s="1"/>
  <c r="BR60" i="2" s="1"/>
  <c r="BS60" i="2" s="1"/>
  <c r="BT60" i="2" s="1"/>
  <c r="BU60" i="2" s="1"/>
  <c r="BV60" i="2" s="1"/>
  <c r="BK37" i="2"/>
  <c r="BK38" i="2"/>
  <c r="BK39" i="2"/>
  <c r="BK40" i="2"/>
  <c r="BK41" i="2"/>
  <c r="BK42" i="2"/>
  <c r="BK43" i="2"/>
  <c r="BK36" i="2"/>
  <c r="AY37" i="2"/>
  <c r="AY38" i="2"/>
  <c r="AY39" i="2"/>
  <c r="AY40" i="2"/>
  <c r="AY41" i="2"/>
  <c r="AY42" i="2"/>
  <c r="AY43" i="2"/>
  <c r="AY36" i="2"/>
  <c r="AM37" i="2"/>
  <c r="AM38" i="2"/>
  <c r="AM39" i="2"/>
  <c r="AM40" i="2"/>
  <c r="AM41" i="2"/>
  <c r="AM42" i="2"/>
  <c r="AM43" i="2"/>
  <c r="AM36" i="2"/>
  <c r="AA37" i="2"/>
  <c r="AA38" i="2"/>
  <c r="AA39" i="2"/>
  <c r="AA40" i="2"/>
  <c r="AA41" i="2"/>
  <c r="AA42" i="2"/>
  <c r="AA43" i="2"/>
  <c r="AA36" i="2"/>
  <c r="O37" i="2"/>
  <c r="O26" i="2" s="1"/>
  <c r="O38" i="2"/>
  <c r="O27" i="2" s="1"/>
  <c r="O39" i="2"/>
  <c r="O28" i="2" s="1"/>
  <c r="O40" i="2"/>
  <c r="O29" i="2" s="1"/>
  <c r="O41" i="2"/>
  <c r="O30" i="2" s="1"/>
  <c r="O42" i="2"/>
  <c r="O31" i="2" s="1"/>
  <c r="O43" i="2"/>
  <c r="O32" i="2" s="1"/>
  <c r="O36" i="2"/>
  <c r="O25" i="2" s="1"/>
  <c r="D4" i="28"/>
  <c r="D46" i="42" l="1"/>
  <c r="C47" i="38"/>
  <c r="E46" i="42"/>
  <c r="E50" i="37" s="1"/>
  <c r="B13" i="37"/>
  <c r="F17" i="51"/>
  <c r="C48" i="38" s="1"/>
  <c r="BM17" i="51"/>
  <c r="BJ48" i="38" s="1"/>
  <c r="BL17" i="51"/>
  <c r="BI48" i="38" s="1"/>
  <c r="BK17" i="51"/>
  <c r="BH48" i="38" s="1"/>
  <c r="BJ17" i="51"/>
  <c r="BG48" i="38" s="1"/>
  <c r="BI17" i="51"/>
  <c r="BF48" i="38" s="1"/>
  <c r="BH17" i="51"/>
  <c r="BE48" i="38" s="1"/>
  <c r="BG17" i="51"/>
  <c r="BD48" i="38" s="1"/>
  <c r="BF17" i="51"/>
  <c r="BC48" i="38" s="1"/>
  <c r="BE17" i="51"/>
  <c r="BB48" i="38" s="1"/>
  <c r="BD17" i="51"/>
  <c r="BA48" i="38" s="1"/>
  <c r="BC17" i="51"/>
  <c r="AZ48" i="38" s="1"/>
  <c r="BB17" i="51"/>
  <c r="AY48" i="38" s="1"/>
  <c r="BA17" i="51"/>
  <c r="AX48" i="38" s="1"/>
  <c r="AZ17" i="51"/>
  <c r="AW48" i="38" s="1"/>
  <c r="AY17" i="51"/>
  <c r="AV48" i="38" s="1"/>
  <c r="AX17" i="51"/>
  <c r="AU48" i="38" s="1"/>
  <c r="AW17" i="51"/>
  <c r="AT48" i="38" s="1"/>
  <c r="AV17" i="51"/>
  <c r="AS48" i="38" s="1"/>
  <c r="AU17" i="51"/>
  <c r="AR48" i="38" s="1"/>
  <c r="AT17" i="51"/>
  <c r="AQ48" i="38" s="1"/>
  <c r="AS17" i="51"/>
  <c r="AP48" i="38" s="1"/>
  <c r="AR17" i="51"/>
  <c r="AO48" i="38" s="1"/>
  <c r="AQ17" i="51"/>
  <c r="AN48" i="38" s="1"/>
  <c r="AP17" i="51"/>
  <c r="AM48" i="38" s="1"/>
  <c r="AO17" i="51"/>
  <c r="AL48" i="38" s="1"/>
  <c r="AN17" i="51"/>
  <c r="AK48" i="38" s="1"/>
  <c r="AM17" i="51"/>
  <c r="AJ48" i="38" s="1"/>
  <c r="AL17" i="51"/>
  <c r="AI48" i="38" s="1"/>
  <c r="AK17" i="51"/>
  <c r="AH48" i="38" s="1"/>
  <c r="AJ17" i="51"/>
  <c r="AG48" i="38" s="1"/>
  <c r="AI17" i="51"/>
  <c r="AF48" i="38" s="1"/>
  <c r="AH17" i="51"/>
  <c r="AE48" i="38" s="1"/>
  <c r="AG17" i="51"/>
  <c r="AD48" i="38" s="1"/>
  <c r="AF17" i="51"/>
  <c r="AC48" i="38" s="1"/>
  <c r="AE17" i="51"/>
  <c r="AB48" i="38" s="1"/>
  <c r="AD17" i="51"/>
  <c r="AA48" i="38" s="1"/>
  <c r="AC17" i="51"/>
  <c r="Z48" i="38" s="1"/>
  <c r="AB17" i="51"/>
  <c r="Y48" i="38" s="1"/>
  <c r="AA17" i="51"/>
  <c r="X48" i="38" s="1"/>
  <c r="Z17" i="51"/>
  <c r="W48" i="38" s="1"/>
  <c r="Y17" i="51"/>
  <c r="V48" i="38" s="1"/>
  <c r="X17" i="51"/>
  <c r="U48" i="38" s="1"/>
  <c r="W17" i="51"/>
  <c r="T48" i="38" s="1"/>
  <c r="V17" i="51"/>
  <c r="S48" i="38" s="1"/>
  <c r="U17" i="51"/>
  <c r="R48" i="38" s="1"/>
  <c r="T17" i="51"/>
  <c r="Q48" i="38" s="1"/>
  <c r="S17" i="51"/>
  <c r="P48" i="38" s="1"/>
  <c r="R17" i="51"/>
  <c r="O48" i="38" s="1"/>
  <c r="Q17" i="51"/>
  <c r="N48" i="38" s="1"/>
  <c r="P17" i="51"/>
  <c r="M48" i="38" s="1"/>
  <c r="O17" i="51"/>
  <c r="L48" i="38" s="1"/>
  <c r="N17" i="51"/>
  <c r="K48" i="38" s="1"/>
  <c r="M17" i="51"/>
  <c r="J48" i="38" s="1"/>
  <c r="L17" i="51"/>
  <c r="I48" i="38" s="1"/>
  <c r="K17" i="51"/>
  <c r="H48" i="38" s="1"/>
  <c r="J17" i="51"/>
  <c r="G48" i="38" s="1"/>
  <c r="I17" i="51"/>
  <c r="F48" i="38" s="1"/>
  <c r="H17" i="51"/>
  <c r="E48" i="38" s="1"/>
  <c r="G17" i="51"/>
  <c r="D48" i="38" s="1"/>
  <c r="G10" i="51"/>
  <c r="D46" i="38" s="1"/>
  <c r="H10" i="51"/>
  <c r="E46" i="38" s="1"/>
  <c r="I10" i="51"/>
  <c r="F46" i="38" s="1"/>
  <c r="J10" i="51"/>
  <c r="G46" i="38" s="1"/>
  <c r="K10" i="51"/>
  <c r="H46" i="38" s="1"/>
  <c r="L10" i="51"/>
  <c r="I46" i="38" s="1"/>
  <c r="M10" i="51"/>
  <c r="J46" i="38" s="1"/>
  <c r="N10" i="51"/>
  <c r="K46" i="38" s="1"/>
  <c r="O10" i="51"/>
  <c r="L46" i="38" s="1"/>
  <c r="P10" i="51"/>
  <c r="M46" i="38" s="1"/>
  <c r="Q10" i="51"/>
  <c r="N46" i="38" s="1"/>
  <c r="R10" i="51"/>
  <c r="O46" i="38" s="1"/>
  <c r="S10" i="51"/>
  <c r="P46" i="38" s="1"/>
  <c r="T10" i="51"/>
  <c r="Q46" i="38" s="1"/>
  <c r="U10" i="51"/>
  <c r="R46" i="38" s="1"/>
  <c r="V10" i="51"/>
  <c r="S46" i="38" s="1"/>
  <c r="W10" i="51"/>
  <c r="T46" i="38" s="1"/>
  <c r="X10" i="51"/>
  <c r="U46" i="38" s="1"/>
  <c r="Y10" i="51"/>
  <c r="V46" i="38" s="1"/>
  <c r="Z10" i="51"/>
  <c r="W46" i="38" s="1"/>
  <c r="AA10" i="51"/>
  <c r="X46" i="38" s="1"/>
  <c r="AB10" i="51"/>
  <c r="Y46" i="38" s="1"/>
  <c r="AC10" i="51"/>
  <c r="Z46" i="38" s="1"/>
  <c r="AD10" i="51"/>
  <c r="AA46" i="38" s="1"/>
  <c r="AE10" i="51"/>
  <c r="AB46" i="38" s="1"/>
  <c r="AF10" i="51"/>
  <c r="AC46" i="38" s="1"/>
  <c r="AG10" i="51"/>
  <c r="AD46" i="38" s="1"/>
  <c r="AH10" i="51"/>
  <c r="AE46" i="38" s="1"/>
  <c r="AI10" i="51"/>
  <c r="AF46" i="38" s="1"/>
  <c r="AJ10" i="51"/>
  <c r="AG46" i="38" s="1"/>
  <c r="AK10" i="51"/>
  <c r="AH46" i="38" s="1"/>
  <c r="AL10" i="51"/>
  <c r="AI46" i="38" s="1"/>
  <c r="AM10" i="51"/>
  <c r="AJ46" i="38" s="1"/>
  <c r="AN10" i="51"/>
  <c r="AK46" i="38" s="1"/>
  <c r="AO10" i="51"/>
  <c r="AL46" i="38" s="1"/>
  <c r="AP10" i="51"/>
  <c r="AM46" i="38" s="1"/>
  <c r="AQ10" i="51"/>
  <c r="AN46" i="38" s="1"/>
  <c r="AR10" i="51"/>
  <c r="AO46" i="38" s="1"/>
  <c r="AS10" i="51"/>
  <c r="AP46" i="38" s="1"/>
  <c r="AT10" i="51"/>
  <c r="AQ46" i="38" s="1"/>
  <c r="AU10" i="51"/>
  <c r="AR46" i="38" s="1"/>
  <c r="AV10" i="51"/>
  <c r="AS46" i="38" s="1"/>
  <c r="AW10" i="51"/>
  <c r="AT46" i="38" s="1"/>
  <c r="AX10" i="51"/>
  <c r="AU46" i="38" s="1"/>
  <c r="AY10" i="51"/>
  <c r="AV46" i="38" s="1"/>
  <c r="AZ10" i="51"/>
  <c r="AW46" i="38" s="1"/>
  <c r="BA10" i="51"/>
  <c r="AX46" i="38" s="1"/>
  <c r="BB10" i="51"/>
  <c r="AY46" i="38" s="1"/>
  <c r="BC10" i="51"/>
  <c r="AZ46" i="38" s="1"/>
  <c r="BD10" i="51"/>
  <c r="BA46" i="38" s="1"/>
  <c r="BE10" i="51"/>
  <c r="BB46" i="38" s="1"/>
  <c r="BF10" i="51"/>
  <c r="BC46" i="38" s="1"/>
  <c r="BG10" i="51"/>
  <c r="BD46" i="38" s="1"/>
  <c r="BH10" i="51"/>
  <c r="BE46" i="38" s="1"/>
  <c r="BI10" i="51"/>
  <c r="BF46" i="38" s="1"/>
  <c r="BJ10" i="51"/>
  <c r="BG46" i="38" s="1"/>
  <c r="BK10" i="51"/>
  <c r="BH46" i="38" s="1"/>
  <c r="BL10" i="51"/>
  <c r="BI46" i="38" s="1"/>
  <c r="BM10" i="51"/>
  <c r="BJ46" i="38" s="1"/>
  <c r="F10" i="51"/>
  <c r="BM4" i="51"/>
  <c r="BL4" i="51"/>
  <c r="BK4" i="51"/>
  <c r="BJ4" i="51"/>
  <c r="BI4" i="51"/>
  <c r="BH4" i="51"/>
  <c r="BG4" i="51"/>
  <c r="BF4" i="51"/>
  <c r="BE4" i="51"/>
  <c r="BD4" i="51"/>
  <c r="BC4" i="51"/>
  <c r="BB4" i="51"/>
  <c r="AO4" i="51"/>
  <c r="BA4" i="51" s="1"/>
  <c r="AN4" i="51"/>
  <c r="AZ4" i="51" s="1"/>
  <c r="AM4" i="51"/>
  <c r="AY4" i="51" s="1"/>
  <c r="AL4" i="51"/>
  <c r="AX4" i="51" s="1"/>
  <c r="AK4" i="51"/>
  <c r="AW4" i="51" s="1"/>
  <c r="AJ4" i="51"/>
  <c r="AV4" i="51" s="1"/>
  <c r="AI4" i="51"/>
  <c r="AU4" i="51" s="1"/>
  <c r="AH4" i="51"/>
  <c r="AT4" i="51" s="1"/>
  <c r="AG4" i="51"/>
  <c r="AS4" i="51" s="1"/>
  <c r="AF4" i="51"/>
  <c r="AR4" i="51" s="1"/>
  <c r="AE4" i="51"/>
  <c r="AQ4" i="51" s="1"/>
  <c r="AD4" i="51"/>
  <c r="AP4" i="51" s="1"/>
  <c r="Q4" i="51"/>
  <c r="AC4" i="51" s="1"/>
  <c r="P4" i="51"/>
  <c r="AB4" i="51" s="1"/>
  <c r="O4" i="51"/>
  <c r="AA4" i="51" s="1"/>
  <c r="N4" i="51"/>
  <c r="Z4" i="51" s="1"/>
  <c r="M4" i="51"/>
  <c r="Y4" i="51" s="1"/>
  <c r="L4" i="51"/>
  <c r="X4" i="51" s="1"/>
  <c r="K4" i="51"/>
  <c r="W4" i="51" s="1"/>
  <c r="J4" i="51"/>
  <c r="V4" i="51" s="1"/>
  <c r="I4" i="51"/>
  <c r="U4" i="51" s="1"/>
  <c r="H4" i="51"/>
  <c r="T4" i="51" s="1"/>
  <c r="G4" i="51"/>
  <c r="S4" i="51" s="1"/>
  <c r="F4" i="51"/>
  <c r="R4" i="51" s="1"/>
  <c r="C17" i="50"/>
  <c r="C12" i="50"/>
  <c r="E44" i="42" l="1"/>
  <c r="D61" i="36" s="1"/>
  <c r="D50" i="37"/>
  <c r="C46" i="38"/>
  <c r="C49" i="38" s="1"/>
  <c r="D53" i="37"/>
  <c r="E53" i="37" s="1"/>
  <c r="F53" i="37" s="1"/>
  <c r="G53" i="37" s="1"/>
  <c r="H53" i="37" s="1"/>
  <c r="I53" i="37" s="1"/>
  <c r="J53" i="37" s="1"/>
  <c r="K53" i="37" s="1"/>
  <c r="L53" i="37" s="1"/>
  <c r="M53" i="37" s="1"/>
  <c r="N53" i="37" s="1"/>
  <c r="O53" i="37" s="1"/>
  <c r="P53" i="37" s="1"/>
  <c r="Q53" i="37" s="1"/>
  <c r="R53" i="37" s="1"/>
  <c r="S53" i="37" s="1"/>
  <c r="T53" i="37" s="1"/>
  <c r="U53" i="37" s="1"/>
  <c r="V53" i="37" s="1"/>
  <c r="W53" i="37" s="1"/>
  <c r="X53" i="37" s="1"/>
  <c r="Y53" i="37" s="1"/>
  <c r="Z53" i="37" s="1"/>
  <c r="AA53" i="37" s="1"/>
  <c r="AB53" i="37" s="1"/>
  <c r="AC53" i="37" s="1"/>
  <c r="AD53" i="37" s="1"/>
  <c r="AE53" i="37" s="1"/>
  <c r="AF53" i="37" s="1"/>
  <c r="AG53" i="37" s="1"/>
  <c r="AH53" i="37" s="1"/>
  <c r="AI53" i="37" s="1"/>
  <c r="AJ53" i="37" s="1"/>
  <c r="AK53" i="37" s="1"/>
  <c r="AL53" i="37" s="1"/>
  <c r="AM53" i="37" s="1"/>
  <c r="AN53" i="37" s="1"/>
  <c r="AO53" i="37" s="1"/>
  <c r="AP53" i="37" s="1"/>
  <c r="AQ53" i="37" s="1"/>
  <c r="AR53" i="37" s="1"/>
  <c r="AS53" i="37" s="1"/>
  <c r="AT53" i="37" s="1"/>
  <c r="AU53" i="37" s="1"/>
  <c r="AV53" i="37" s="1"/>
  <c r="AW53" i="37" s="1"/>
  <c r="AX53" i="37" s="1"/>
  <c r="AY53" i="37" s="1"/>
  <c r="AZ53" i="37" s="1"/>
  <c r="BA53" i="37" s="1"/>
  <c r="BB53" i="37" s="1"/>
  <c r="BC53" i="37" s="1"/>
  <c r="BD53" i="37" s="1"/>
  <c r="BE53" i="37" s="1"/>
  <c r="BF53" i="37" s="1"/>
  <c r="BG53" i="37" s="1"/>
  <c r="BH53" i="37" s="1"/>
  <c r="BI53" i="37" s="1"/>
  <c r="BJ53" i="37" s="1"/>
  <c r="BK53" i="37" s="1"/>
  <c r="E45" i="42"/>
  <c r="D47" i="38" s="1"/>
  <c r="D49" i="38" s="1"/>
  <c r="F45" i="42"/>
  <c r="E47" i="38" s="1"/>
  <c r="E49" i="38" s="1"/>
  <c r="F46" i="42"/>
  <c r="F44" i="42"/>
  <c r="E61" i="36" s="1"/>
  <c r="G45" i="42" l="1"/>
  <c r="F47" i="38" s="1"/>
  <c r="F49" i="38" s="1"/>
  <c r="F50" i="37"/>
  <c r="G44" i="42"/>
  <c r="F61" i="36" s="1"/>
  <c r="G46" i="42"/>
  <c r="G50" i="37" s="1"/>
  <c r="H44" i="42" l="1"/>
  <c r="G61" i="36" s="1"/>
  <c r="H45" i="42"/>
  <c r="G47" i="38" s="1"/>
  <c r="G49" i="38" s="1"/>
  <c r="P37" i="2"/>
  <c r="P26" i="2" s="1"/>
  <c r="H46" i="42" l="1"/>
  <c r="H50" i="37" s="1"/>
  <c r="Q37" i="2"/>
  <c r="Q26" i="2" s="1"/>
  <c r="P38" i="2"/>
  <c r="P27" i="2" s="1"/>
  <c r="P39" i="2"/>
  <c r="P28" i="2" s="1"/>
  <c r="P40" i="2"/>
  <c r="P29" i="2" s="1"/>
  <c r="P41" i="2"/>
  <c r="P30" i="2" s="1"/>
  <c r="P42" i="2"/>
  <c r="P31" i="2" s="1"/>
  <c r="P43" i="2"/>
  <c r="P32" i="2" s="1"/>
  <c r="P36" i="2"/>
  <c r="P25" i="2" s="1"/>
  <c r="I37" i="2"/>
  <c r="I38" i="2"/>
  <c r="I39" i="2"/>
  <c r="I40" i="2"/>
  <c r="I41" i="2"/>
  <c r="I42" i="2"/>
  <c r="I43" i="2"/>
  <c r="I36" i="2"/>
  <c r="I44" i="42" l="1"/>
  <c r="H61" i="36" s="1"/>
  <c r="Q43" i="2"/>
  <c r="Q32" i="2" s="1"/>
  <c r="Q39" i="2"/>
  <c r="Q28" i="2" s="1"/>
  <c r="Q41" i="2"/>
  <c r="Q30" i="2" s="1"/>
  <c r="Q42" i="2"/>
  <c r="Q31" i="2" s="1"/>
  <c r="Q40" i="2"/>
  <c r="Q29" i="2" s="1"/>
  <c r="Q38" i="2"/>
  <c r="Q27" i="2" s="1"/>
  <c r="R37" i="2"/>
  <c r="R26" i="2" s="1"/>
  <c r="Q36" i="2"/>
  <c r="Q25" i="2" s="1"/>
  <c r="K14" i="22"/>
  <c r="L14" i="22" s="1"/>
  <c r="M14" i="22" s="1"/>
  <c r="N14" i="22" s="1"/>
  <c r="O14" i="22" s="1"/>
  <c r="P14" i="22" s="1"/>
  <c r="Q14" i="22" s="1"/>
  <c r="R14" i="22" s="1"/>
  <c r="S14" i="22" s="1"/>
  <c r="T14" i="22" s="1"/>
  <c r="U14" i="22" s="1"/>
  <c r="V14" i="22" s="1"/>
  <c r="W14" i="22" s="1"/>
  <c r="X14" i="22" s="1"/>
  <c r="Y14" i="22" s="1"/>
  <c r="Z14" i="22" s="1"/>
  <c r="AA14" i="22" s="1"/>
  <c r="AB14" i="22" s="1"/>
  <c r="AC14" i="22" s="1"/>
  <c r="AD14" i="22" s="1"/>
  <c r="AE14" i="22" s="1"/>
  <c r="AF14" i="22" s="1"/>
  <c r="AG14" i="22" s="1"/>
  <c r="AH14" i="22" s="1"/>
  <c r="AI14" i="22" s="1"/>
  <c r="AJ14" i="22" s="1"/>
  <c r="AK14" i="22" s="1"/>
  <c r="AL14" i="22" s="1"/>
  <c r="AM14" i="22" s="1"/>
  <c r="AN14" i="22" s="1"/>
  <c r="AO14" i="22" s="1"/>
  <c r="AP14" i="22" s="1"/>
  <c r="AQ14" i="22" s="1"/>
  <c r="AR14" i="22" s="1"/>
  <c r="AS14" i="22" s="1"/>
  <c r="AT14" i="22" s="1"/>
  <c r="AU14" i="22" s="1"/>
  <c r="AV14" i="22" s="1"/>
  <c r="AW14" i="22" s="1"/>
  <c r="AX14" i="22" s="1"/>
  <c r="AY14" i="22" s="1"/>
  <c r="AZ14" i="22" s="1"/>
  <c r="BA14" i="22" s="1"/>
  <c r="BB14" i="22" s="1"/>
  <c r="BC14" i="22" s="1"/>
  <c r="BD14" i="22" s="1"/>
  <c r="BE14" i="22" s="1"/>
  <c r="BF14" i="22" s="1"/>
  <c r="BG14" i="22" s="1"/>
  <c r="BH14" i="22" s="1"/>
  <c r="BI14" i="22" s="1"/>
  <c r="BJ14" i="22" s="1"/>
  <c r="BK14" i="22" s="1"/>
  <c r="BL14" i="22" s="1"/>
  <c r="BM14" i="22" s="1"/>
  <c r="BN14" i="22" s="1"/>
  <c r="BO14" i="22" s="1"/>
  <c r="BP14" i="22" s="1"/>
  <c r="BQ14" i="22" s="1"/>
  <c r="I45" i="42" l="1"/>
  <c r="H47" i="38" s="1"/>
  <c r="H49" i="38" s="1"/>
  <c r="R39" i="2"/>
  <c r="R43" i="2"/>
  <c r="R32" i="2" s="1"/>
  <c r="R41" i="2"/>
  <c r="R30" i="2" s="1"/>
  <c r="R38" i="2"/>
  <c r="R27" i="2" s="1"/>
  <c r="R42" i="2"/>
  <c r="R31" i="2" s="1"/>
  <c r="R40" i="2"/>
  <c r="R29" i="2" s="1"/>
  <c r="S37" i="2"/>
  <c r="S26" i="2" s="1"/>
  <c r="R36" i="2"/>
  <c r="R25" i="2" s="1"/>
  <c r="I46" i="42" l="1"/>
  <c r="I50" i="37" s="1"/>
  <c r="S39" i="2"/>
  <c r="S28" i="2" s="1"/>
  <c r="R28" i="2"/>
  <c r="S43" i="2"/>
  <c r="S32" i="2" s="1"/>
  <c r="S41" i="2"/>
  <c r="S30" i="2" s="1"/>
  <c r="S42" i="2"/>
  <c r="S31" i="2" s="1"/>
  <c r="S40" i="2"/>
  <c r="S29" i="2" s="1"/>
  <c r="S38" i="2"/>
  <c r="S27" i="2" s="1"/>
  <c r="T37" i="2"/>
  <c r="T26" i="2" s="1"/>
  <c r="S36" i="2"/>
  <c r="S25" i="2" s="1"/>
  <c r="J52" i="46"/>
  <c r="P52" i="46" s="1"/>
  <c r="J51" i="46"/>
  <c r="P51" i="46" s="1"/>
  <c r="A50" i="46"/>
  <c r="J50" i="46" s="1"/>
  <c r="P50" i="46" s="1"/>
  <c r="A49" i="46"/>
  <c r="J49" i="46" s="1"/>
  <c r="P49" i="46" s="1"/>
  <c r="F29" i="46"/>
  <c r="F17" i="46"/>
  <c r="G17" i="46" s="1"/>
  <c r="H17" i="46" s="1"/>
  <c r="I17" i="46" s="1"/>
  <c r="B29" i="46" s="1"/>
  <c r="T39" i="2" l="1"/>
  <c r="T28" i="2" s="1"/>
  <c r="J44" i="42"/>
  <c r="I61" i="36" s="1"/>
  <c r="T43" i="2"/>
  <c r="T32" i="2" s="1"/>
  <c r="U39" i="2"/>
  <c r="U28" i="2" s="1"/>
  <c r="T40" i="2"/>
  <c r="T29" i="2" s="1"/>
  <c r="T38" i="2"/>
  <c r="T27" i="2" s="1"/>
  <c r="T42" i="2"/>
  <c r="T31" i="2" s="1"/>
  <c r="T41" i="2"/>
  <c r="T30" i="2" s="1"/>
  <c r="U37" i="2"/>
  <c r="U26" i="2" s="1"/>
  <c r="T36" i="2"/>
  <c r="T25" i="2" s="1"/>
  <c r="K38" i="46"/>
  <c r="G29" i="46"/>
  <c r="R29" i="46"/>
  <c r="E29" i="46"/>
  <c r="L29" i="46"/>
  <c r="J45" i="42" l="1"/>
  <c r="I47" i="38" s="1"/>
  <c r="I49" i="38" s="1"/>
  <c r="U43" i="2"/>
  <c r="U32" i="2" s="1"/>
  <c r="U41" i="2"/>
  <c r="U30" i="2" s="1"/>
  <c r="V39" i="2"/>
  <c r="V28" i="2" s="1"/>
  <c r="U38" i="2"/>
  <c r="U27" i="2" s="1"/>
  <c r="U42" i="2"/>
  <c r="U31" i="2" s="1"/>
  <c r="U40" i="2"/>
  <c r="U29" i="2" s="1"/>
  <c r="V37" i="2"/>
  <c r="V26" i="2" s="1"/>
  <c r="U36" i="2"/>
  <c r="U25" i="2" s="1"/>
  <c r="K29" i="46"/>
  <c r="E38" i="46"/>
  <c r="Q29" i="46"/>
  <c r="S29" i="46"/>
  <c r="M29" i="46"/>
  <c r="Q38" i="46"/>
  <c r="J46" i="42" l="1"/>
  <c r="J50" i="37" s="1"/>
  <c r="V43" i="2"/>
  <c r="V32" i="2" s="1"/>
  <c r="V40" i="2"/>
  <c r="V29" i="2" s="1"/>
  <c r="V38" i="2"/>
  <c r="V27" i="2" s="1"/>
  <c r="V41" i="2"/>
  <c r="V30" i="2" s="1"/>
  <c r="V42" i="2"/>
  <c r="V31" i="2" s="1"/>
  <c r="W39" i="2"/>
  <c r="W28" i="2" s="1"/>
  <c r="W37" i="2"/>
  <c r="W26" i="2" s="1"/>
  <c r="V36" i="2"/>
  <c r="V25" i="2" s="1"/>
  <c r="K44" i="42" l="1"/>
  <c r="J61" i="36" s="1"/>
  <c r="W43" i="2"/>
  <c r="W32" i="2" s="1"/>
  <c r="X39" i="2"/>
  <c r="X28" i="2" s="1"/>
  <c r="W38" i="2"/>
  <c r="W27" i="2" s="1"/>
  <c r="W42" i="2"/>
  <c r="W31" i="2" s="1"/>
  <c r="W41" i="2"/>
  <c r="W30" i="2" s="1"/>
  <c r="W40" i="2"/>
  <c r="W29" i="2" s="1"/>
  <c r="X37" i="2"/>
  <c r="X26" i="2" s="1"/>
  <c r="W36" i="2"/>
  <c r="W25" i="2" s="1"/>
  <c r="K8" i="22"/>
  <c r="K15" i="22" l="1"/>
  <c r="K45" i="42"/>
  <c r="J47" i="38" s="1"/>
  <c r="J49" i="38" s="1"/>
  <c r="X43" i="2"/>
  <c r="X32" i="2" s="1"/>
  <c r="X40" i="2"/>
  <c r="X29" i="2" s="1"/>
  <c r="X42" i="2"/>
  <c r="X31" i="2" s="1"/>
  <c r="X41" i="2"/>
  <c r="X30" i="2" s="1"/>
  <c r="X38" i="2"/>
  <c r="X27" i="2" s="1"/>
  <c r="Y39" i="2"/>
  <c r="Y28" i="2" s="1"/>
  <c r="Y37" i="2"/>
  <c r="Y26" i="2" s="1"/>
  <c r="X36" i="2"/>
  <c r="X25" i="2" s="1"/>
  <c r="K46" i="42" l="1"/>
  <c r="K50" i="37" s="1"/>
  <c r="Y43" i="2"/>
  <c r="Y32" i="2" s="1"/>
  <c r="Z39" i="2"/>
  <c r="Z28" i="2" s="1"/>
  <c r="Y41" i="2"/>
  <c r="Y30" i="2" s="1"/>
  <c r="Y42" i="2"/>
  <c r="Y31" i="2" s="1"/>
  <c r="Y38" i="2"/>
  <c r="Y27" i="2" s="1"/>
  <c r="Y40" i="2"/>
  <c r="Y29" i="2" s="1"/>
  <c r="Z37" i="2"/>
  <c r="Z26" i="2" s="1"/>
  <c r="Y36" i="2"/>
  <c r="Y25" i="2" s="1"/>
  <c r="L7" i="22"/>
  <c r="L44" i="42" l="1"/>
  <c r="K61" i="36" s="1"/>
  <c r="Z43" i="2"/>
  <c r="Z32" i="2" s="1"/>
  <c r="Z40" i="2"/>
  <c r="Z29" i="2" s="1"/>
  <c r="Z38" i="2"/>
  <c r="Z27" i="2" s="1"/>
  <c r="Z41" i="2"/>
  <c r="Z30" i="2" s="1"/>
  <c r="Z42" i="2"/>
  <c r="Z31" i="2" s="1"/>
  <c r="AA28" i="2"/>
  <c r="AA26" i="2"/>
  <c r="Z36" i="2"/>
  <c r="Z25" i="2" s="1"/>
  <c r="L8" i="22"/>
  <c r="M7" i="22"/>
  <c r="N7" i="22" s="1"/>
  <c r="O7" i="22" s="1"/>
  <c r="P7" i="22" s="1"/>
  <c r="Q7" i="22" s="1"/>
  <c r="R7" i="22" s="1"/>
  <c r="S7" i="22" s="1"/>
  <c r="T7" i="22" s="1"/>
  <c r="U7" i="22" s="1"/>
  <c r="V7" i="22" s="1"/>
  <c r="W7" i="22" s="1"/>
  <c r="X7" i="22" s="1"/>
  <c r="Y7" i="22" s="1"/>
  <c r="Z7" i="22" s="1"/>
  <c r="AA7" i="22" s="1"/>
  <c r="AB7" i="22" s="1"/>
  <c r="AC7" i="22" s="1"/>
  <c r="AD7" i="22" s="1"/>
  <c r="AE7" i="22" s="1"/>
  <c r="AF7" i="22" s="1"/>
  <c r="AG7" i="22" s="1"/>
  <c r="AH7" i="22" s="1"/>
  <c r="AI7" i="22" s="1"/>
  <c r="AJ7" i="22" s="1"/>
  <c r="AK7" i="22" s="1"/>
  <c r="AL7" i="22" s="1"/>
  <c r="AM7" i="22" s="1"/>
  <c r="AN7" i="22" s="1"/>
  <c r="AO7" i="22" s="1"/>
  <c r="AP7" i="22" s="1"/>
  <c r="AQ7" i="22" s="1"/>
  <c r="AR7" i="22" s="1"/>
  <c r="AS7" i="22" s="1"/>
  <c r="AT7" i="22" s="1"/>
  <c r="AU7" i="22" s="1"/>
  <c r="AV7" i="22" s="1"/>
  <c r="AW7" i="22" s="1"/>
  <c r="AX7" i="22" s="1"/>
  <c r="AY7" i="22" s="1"/>
  <c r="AZ7" i="22" s="1"/>
  <c r="BA7" i="22" s="1"/>
  <c r="BB7" i="22" s="1"/>
  <c r="BC7" i="22" s="1"/>
  <c r="BD7" i="22" s="1"/>
  <c r="BE7" i="22" s="1"/>
  <c r="BF7" i="22" s="1"/>
  <c r="BG7" i="22" s="1"/>
  <c r="BH7" i="22" s="1"/>
  <c r="BI7" i="22" s="1"/>
  <c r="BJ7" i="22" s="1"/>
  <c r="BK7" i="22" s="1"/>
  <c r="BL7" i="22" s="1"/>
  <c r="BM7" i="22" s="1"/>
  <c r="BN7" i="22" s="1"/>
  <c r="BO7" i="22" s="1"/>
  <c r="BP7" i="22" s="1"/>
  <c r="BQ7" i="22" s="1"/>
  <c r="O48" i="2"/>
  <c r="O52" i="2"/>
  <c r="O47" i="2"/>
  <c r="O49" i="2"/>
  <c r="O53" i="2"/>
  <c r="O50" i="2"/>
  <c r="O51" i="2"/>
  <c r="O46" i="2"/>
  <c r="E12" i="28"/>
  <c r="F12" i="28" s="1"/>
  <c r="G12" i="28" s="1"/>
  <c r="H12" i="28" s="1"/>
  <c r="L45" i="42" l="1"/>
  <c r="K47" i="38" s="1"/>
  <c r="K49" i="38" s="1"/>
  <c r="O54" i="2"/>
  <c r="C56" i="36" s="1"/>
  <c r="AA32" i="2"/>
  <c r="AB39" i="2"/>
  <c r="AB28" i="2" s="1"/>
  <c r="AA27" i="2"/>
  <c r="AA31" i="2"/>
  <c r="AA30" i="2"/>
  <c r="AA29" i="2"/>
  <c r="AB37" i="2"/>
  <c r="AB26" i="2" s="1"/>
  <c r="AA25" i="2"/>
  <c r="M8" i="22"/>
  <c r="L15" i="22"/>
  <c r="L46" i="42" l="1"/>
  <c r="L50" i="37" s="1"/>
  <c r="AB43" i="2"/>
  <c r="AB32" i="2" s="1"/>
  <c r="AB40" i="2"/>
  <c r="AB29" i="2" s="1"/>
  <c r="AB42" i="2"/>
  <c r="AB31" i="2" s="1"/>
  <c r="AB41" i="2"/>
  <c r="AB30" i="2" s="1"/>
  <c r="AB38" i="2"/>
  <c r="AB27" i="2" s="1"/>
  <c r="AC39" i="2"/>
  <c r="AC28" i="2" s="1"/>
  <c r="AC37" i="2"/>
  <c r="AC26" i="2" s="1"/>
  <c r="AB36" i="2"/>
  <c r="AB25" i="2" s="1"/>
  <c r="J14" i="43"/>
  <c r="J7" i="43"/>
  <c r="J13" i="43"/>
  <c r="J6" i="43"/>
  <c r="J12" i="43"/>
  <c r="J5" i="43"/>
  <c r="N8" i="22"/>
  <c r="M15" i="22"/>
  <c r="C19" i="38"/>
  <c r="D19" i="38"/>
  <c r="E19" i="38"/>
  <c r="F19" i="38"/>
  <c r="G19" i="38"/>
  <c r="M8" i="40"/>
  <c r="M44" i="42" l="1"/>
  <c r="L61" i="36" s="1"/>
  <c r="AC43" i="2"/>
  <c r="AC32" i="2" s="1"/>
  <c r="AC41" i="2"/>
  <c r="AC30" i="2" s="1"/>
  <c r="AD39" i="2"/>
  <c r="AD28" i="2" s="1"/>
  <c r="AC40" i="2"/>
  <c r="AC29" i="2" s="1"/>
  <c r="AC38" i="2"/>
  <c r="AC27" i="2" s="1"/>
  <c r="AC42" i="2"/>
  <c r="AC31" i="2" s="1"/>
  <c r="AD37" i="2"/>
  <c r="AD26" i="2" s="1"/>
  <c r="AC36" i="2"/>
  <c r="AC25" i="2" s="1"/>
  <c r="O8" i="22"/>
  <c r="N15" i="22"/>
  <c r="M9" i="40"/>
  <c r="M7" i="40"/>
  <c r="M45" i="42" l="1"/>
  <c r="L47" i="38" s="1"/>
  <c r="L49" i="38" s="1"/>
  <c r="AD43" i="2"/>
  <c r="AD32" i="2" s="1"/>
  <c r="AD42" i="2"/>
  <c r="AD31" i="2" s="1"/>
  <c r="AD40" i="2"/>
  <c r="AD29" i="2" s="1"/>
  <c r="AD41" i="2"/>
  <c r="AD30" i="2" s="1"/>
  <c r="AD38" i="2"/>
  <c r="AD27" i="2" s="1"/>
  <c r="AE39" i="2"/>
  <c r="AE28" i="2" s="1"/>
  <c r="AE37" i="2"/>
  <c r="AE26" i="2" s="1"/>
  <c r="AD36" i="2"/>
  <c r="AD25" i="2" s="1"/>
  <c r="P8" i="22"/>
  <c r="O15" i="22"/>
  <c r="M10" i="40"/>
  <c r="O66" i="2"/>
  <c r="C57" i="36" s="1"/>
  <c r="J15" i="22"/>
  <c r="J16" i="22" s="1"/>
  <c r="C39" i="36" s="1"/>
  <c r="D39" i="37" s="1"/>
  <c r="C40" i="38" l="1"/>
  <c r="M46" i="42"/>
  <c r="M50" i="37" s="1"/>
  <c r="AE43" i="2"/>
  <c r="AE32" i="2" s="1"/>
  <c r="AF39" i="2"/>
  <c r="AF28" i="2" s="1"/>
  <c r="AE40" i="2"/>
  <c r="AE29" i="2" s="1"/>
  <c r="AE38" i="2"/>
  <c r="AE27" i="2" s="1"/>
  <c r="AE41" i="2"/>
  <c r="AE30" i="2" s="1"/>
  <c r="AE42" i="2"/>
  <c r="AE31" i="2" s="1"/>
  <c r="AF37" i="2"/>
  <c r="AF26" i="2" s="1"/>
  <c r="AE36" i="2"/>
  <c r="AE25" i="2" s="1"/>
  <c r="Q8" i="22"/>
  <c r="P15" i="22"/>
  <c r="K16" i="22"/>
  <c r="D39" i="36" s="1"/>
  <c r="E39" i="37" s="1"/>
  <c r="D40" i="38" s="1"/>
  <c r="E8" i="28"/>
  <c r="F8" i="28" s="1"/>
  <c r="G8" i="28" s="1"/>
  <c r="H8" i="28" s="1"/>
  <c r="E14" i="28"/>
  <c r="F14" i="28" s="1"/>
  <c r="G14" i="28" s="1"/>
  <c r="H14" i="28" s="1"/>
  <c r="F10" i="28"/>
  <c r="G10" i="28" s="1"/>
  <c r="H10" i="28" s="1"/>
  <c r="N44" i="42" l="1"/>
  <c r="M61" i="36" s="1"/>
  <c r="AF43" i="2"/>
  <c r="AF32" i="2" s="1"/>
  <c r="AF42" i="2"/>
  <c r="AF31" i="2" s="1"/>
  <c r="AF38" i="2"/>
  <c r="AF27" i="2" s="1"/>
  <c r="AF41" i="2"/>
  <c r="AF30" i="2" s="1"/>
  <c r="AF40" i="2"/>
  <c r="AF29" i="2" s="1"/>
  <c r="AG39" i="2"/>
  <c r="AG28" i="2" s="1"/>
  <c r="AG37" i="2"/>
  <c r="AG26" i="2" s="1"/>
  <c r="AF36" i="2"/>
  <c r="AF25" i="2" s="1"/>
  <c r="R8" i="22"/>
  <c r="Q15" i="22"/>
  <c r="L16" i="22"/>
  <c r="E39" i="36" s="1"/>
  <c r="F39" i="37" s="1"/>
  <c r="E40" i="38" l="1"/>
  <c r="N45" i="42"/>
  <c r="M47" i="38" s="1"/>
  <c r="M49" i="38" s="1"/>
  <c r="AG43" i="2"/>
  <c r="AG32" i="2" s="1"/>
  <c r="AH39" i="2"/>
  <c r="AH28" i="2" s="1"/>
  <c r="AG41" i="2"/>
  <c r="AG30" i="2" s="1"/>
  <c r="AG38" i="2"/>
  <c r="AG27" i="2" s="1"/>
  <c r="AG40" i="2"/>
  <c r="AG29" i="2" s="1"/>
  <c r="AG42" i="2"/>
  <c r="AG31" i="2" s="1"/>
  <c r="AH37" i="2"/>
  <c r="AH26" i="2" s="1"/>
  <c r="AG36" i="2"/>
  <c r="AG25" i="2" s="1"/>
  <c r="S8" i="22"/>
  <c r="R15" i="22"/>
  <c r="M16" i="22"/>
  <c r="F39" i="36" s="1"/>
  <c r="G39" i="37" s="1"/>
  <c r="F40" i="38" l="1"/>
  <c r="N46" i="42"/>
  <c r="N50" i="37" s="1"/>
  <c r="AH43" i="2"/>
  <c r="AH32" i="2" s="1"/>
  <c r="AH42" i="2"/>
  <c r="AH31" i="2" s="1"/>
  <c r="AH40" i="2"/>
  <c r="AH29" i="2" s="1"/>
  <c r="AH41" i="2"/>
  <c r="AH30" i="2" s="1"/>
  <c r="AH38" i="2"/>
  <c r="AH27" i="2" s="1"/>
  <c r="AI39" i="2"/>
  <c r="AI28" i="2" s="1"/>
  <c r="AI37" i="2"/>
  <c r="AI26" i="2" s="1"/>
  <c r="AH36" i="2"/>
  <c r="AH25" i="2" s="1"/>
  <c r="T8" i="22"/>
  <c r="S15" i="22"/>
  <c r="N16" i="22"/>
  <c r="G39" i="36" s="1"/>
  <c r="H39" i="37" s="1"/>
  <c r="B22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G40" i="38" l="1"/>
  <c r="O44" i="42"/>
  <c r="N61" i="36" s="1"/>
  <c r="AI43" i="2"/>
  <c r="AI32" i="2" s="1"/>
  <c r="AJ39" i="2"/>
  <c r="AJ28" i="2" s="1"/>
  <c r="AI40" i="2"/>
  <c r="AI29" i="2" s="1"/>
  <c r="AI38" i="2"/>
  <c r="AI27" i="2" s="1"/>
  <c r="AI41" i="2"/>
  <c r="AI30" i="2" s="1"/>
  <c r="AI42" i="2"/>
  <c r="AI31" i="2" s="1"/>
  <c r="AJ37" i="2"/>
  <c r="AJ26" i="2" s="1"/>
  <c r="AI36" i="2"/>
  <c r="AI25" i="2" s="1"/>
  <c r="U8" i="22"/>
  <c r="T15" i="22"/>
  <c r="O16" i="22"/>
  <c r="H39" i="36" s="1"/>
  <c r="I39" i="37" s="1"/>
  <c r="H40" i="38" l="1"/>
  <c r="O45" i="42"/>
  <c r="N47" i="38" s="1"/>
  <c r="N49" i="38" s="1"/>
  <c r="AJ43" i="2"/>
  <c r="AJ32" i="2" s="1"/>
  <c r="AJ38" i="2"/>
  <c r="AJ27" i="2" s="1"/>
  <c r="AJ42" i="2"/>
  <c r="AJ31" i="2" s="1"/>
  <c r="AK39" i="2"/>
  <c r="AK28" i="2" s="1"/>
  <c r="AJ41" i="2"/>
  <c r="AJ30" i="2" s="1"/>
  <c r="AJ40" i="2"/>
  <c r="AJ29" i="2" s="1"/>
  <c r="AK37" i="2"/>
  <c r="AK26" i="2" s="1"/>
  <c r="AJ36" i="2"/>
  <c r="AJ25" i="2" s="1"/>
  <c r="V8" i="22"/>
  <c r="U15" i="22"/>
  <c r="P16" i="22"/>
  <c r="I39" i="36" s="1"/>
  <c r="J39" i="37" s="1"/>
  <c r="I40" i="38" l="1"/>
  <c r="O46" i="42"/>
  <c r="O50" i="37" s="1"/>
  <c r="AK43" i="2"/>
  <c r="AK32" i="2" s="1"/>
  <c r="AK41" i="2"/>
  <c r="AK30" i="2" s="1"/>
  <c r="AK42" i="2"/>
  <c r="AK31" i="2" s="1"/>
  <c r="AK40" i="2"/>
  <c r="AK29" i="2" s="1"/>
  <c r="AL39" i="2"/>
  <c r="AL28" i="2" s="1"/>
  <c r="AK38" i="2"/>
  <c r="AK27" i="2" s="1"/>
  <c r="AL37" i="2"/>
  <c r="AL26" i="2" s="1"/>
  <c r="AK36" i="2"/>
  <c r="AK25" i="2" s="1"/>
  <c r="W8" i="22"/>
  <c r="V15" i="22"/>
  <c r="Q16" i="22"/>
  <c r="J39" i="36" s="1"/>
  <c r="K39" i="37" s="1"/>
  <c r="J40" i="38" l="1"/>
  <c r="P46" i="42"/>
  <c r="P50" i="37" s="1"/>
  <c r="P44" i="42"/>
  <c r="O61" i="36" s="1"/>
  <c r="P45" i="42"/>
  <c r="O47" i="38" s="1"/>
  <c r="O49" i="38" s="1"/>
  <c r="AL43" i="2"/>
  <c r="AL32" i="2" s="1"/>
  <c r="AL41" i="2"/>
  <c r="AL30" i="2" s="1"/>
  <c r="AL38" i="2"/>
  <c r="AL27" i="2" s="1"/>
  <c r="AL40" i="2"/>
  <c r="AL29" i="2" s="1"/>
  <c r="AM28" i="2"/>
  <c r="AL42" i="2"/>
  <c r="AL31" i="2" s="1"/>
  <c r="AM26" i="2"/>
  <c r="AL36" i="2"/>
  <c r="AL25" i="2" s="1"/>
  <c r="X8" i="22"/>
  <c r="W15" i="22"/>
  <c r="P66" i="2"/>
  <c r="D57" i="36" s="1"/>
  <c r="R16" i="22"/>
  <c r="K39" i="36" s="1"/>
  <c r="L39" i="37" s="1"/>
  <c r="J12" i="22"/>
  <c r="C38" i="36" s="1"/>
  <c r="C40" i="36" l="1"/>
  <c r="D40" i="37"/>
  <c r="D38" i="37"/>
  <c r="K40" i="38"/>
  <c r="Q46" i="42"/>
  <c r="Q50" i="37" s="1"/>
  <c r="Q44" i="42"/>
  <c r="P61" i="36" s="1"/>
  <c r="Q45" i="42"/>
  <c r="P47" i="38" s="1"/>
  <c r="P49" i="38" s="1"/>
  <c r="AM32" i="2"/>
  <c r="AN39" i="2"/>
  <c r="AN28" i="2" s="1"/>
  <c r="AM27" i="2"/>
  <c r="AM31" i="2"/>
  <c r="AM29" i="2"/>
  <c r="AM30" i="2"/>
  <c r="AN37" i="2"/>
  <c r="AN26" i="2" s="1"/>
  <c r="AM25" i="2"/>
  <c r="K5" i="43"/>
  <c r="Y8" i="22"/>
  <c r="X15" i="22"/>
  <c r="Q66" i="2"/>
  <c r="E57" i="36" s="1"/>
  <c r="S16" i="22"/>
  <c r="L39" i="36" s="1"/>
  <c r="M39" i="37" s="1"/>
  <c r="L40" i="38" s="1"/>
  <c r="F24" i="21"/>
  <c r="C41" i="38" l="1"/>
  <c r="C39" i="38"/>
  <c r="R46" i="42"/>
  <c r="R50" i="37" s="1"/>
  <c r="R44" i="42"/>
  <c r="Q61" i="36" s="1"/>
  <c r="R45" i="42"/>
  <c r="Q47" i="38" s="1"/>
  <c r="Q49" i="38" s="1"/>
  <c r="AN43" i="2"/>
  <c r="AN32" i="2" s="1"/>
  <c r="AN42" i="2"/>
  <c r="AN31" i="2" s="1"/>
  <c r="AN41" i="2"/>
  <c r="AN30" i="2" s="1"/>
  <c r="AO39" i="2"/>
  <c r="AO28" i="2" s="1"/>
  <c r="AN40" i="2"/>
  <c r="AN29" i="2" s="1"/>
  <c r="AN38" i="2"/>
  <c r="AN27" i="2" s="1"/>
  <c r="AO37" i="2"/>
  <c r="AO26" i="2" s="1"/>
  <c r="AN36" i="2"/>
  <c r="AN25" i="2" s="1"/>
  <c r="K14" i="43"/>
  <c r="K7" i="43"/>
  <c r="K6" i="43"/>
  <c r="K13" i="43"/>
  <c r="K12" i="43"/>
  <c r="Z8" i="22"/>
  <c r="Y15" i="22"/>
  <c r="R66" i="2"/>
  <c r="F57" i="36" s="1"/>
  <c r="T16" i="22"/>
  <c r="M39" i="36" s="1"/>
  <c r="N39" i="37" s="1"/>
  <c r="M40" i="38" l="1"/>
  <c r="S46" i="42"/>
  <c r="S50" i="37" s="1"/>
  <c r="S44" i="42"/>
  <c r="R61" i="36" s="1"/>
  <c r="S45" i="42"/>
  <c r="R47" i="38" s="1"/>
  <c r="R49" i="38" s="1"/>
  <c r="AO43" i="2"/>
  <c r="AO32" i="2" s="1"/>
  <c r="AO41" i="2"/>
  <c r="AO30" i="2" s="1"/>
  <c r="AO40" i="2"/>
  <c r="AO29" i="2" s="1"/>
  <c r="AO38" i="2"/>
  <c r="AO27" i="2" s="1"/>
  <c r="AP39" i="2"/>
  <c r="AP28" i="2" s="1"/>
  <c r="AO42" i="2"/>
  <c r="AO31" i="2" s="1"/>
  <c r="AP37" i="2"/>
  <c r="AP26" i="2" s="1"/>
  <c r="AO36" i="2"/>
  <c r="AO25" i="2" s="1"/>
  <c r="AA8" i="22"/>
  <c r="Z15" i="22"/>
  <c r="S66" i="2"/>
  <c r="G57" i="36" s="1"/>
  <c r="U16" i="22"/>
  <c r="N39" i="36" s="1"/>
  <c r="O39" i="37" s="1"/>
  <c r="B9" i="36"/>
  <c r="N40" i="38" l="1"/>
  <c r="T46" i="42"/>
  <c r="T50" i="37" s="1"/>
  <c r="T44" i="42"/>
  <c r="S61" i="36" s="1"/>
  <c r="T45" i="42"/>
  <c r="S47" i="38" s="1"/>
  <c r="S49" i="38" s="1"/>
  <c r="C6" i="45"/>
  <c r="C19" i="45"/>
  <c r="AP43" i="2"/>
  <c r="AP32" i="2" s="1"/>
  <c r="AP38" i="2"/>
  <c r="AP27" i="2" s="1"/>
  <c r="AP42" i="2"/>
  <c r="AP31" i="2" s="1"/>
  <c r="AQ39" i="2"/>
  <c r="AQ28" i="2" s="1"/>
  <c r="AP40" i="2"/>
  <c r="AP29" i="2" s="1"/>
  <c r="AP41" i="2"/>
  <c r="AP30" i="2" s="1"/>
  <c r="AQ37" i="2"/>
  <c r="AQ26" i="2" s="1"/>
  <c r="AP36" i="2"/>
  <c r="AP25" i="2" s="1"/>
  <c r="AB8" i="22"/>
  <c r="AA15" i="22"/>
  <c r="C7" i="22"/>
  <c r="J11" i="43" s="1"/>
  <c r="T66" i="2"/>
  <c r="H57" i="36" s="1"/>
  <c r="V16" i="22"/>
  <c r="O39" i="36" s="1"/>
  <c r="P39" i="37" s="1"/>
  <c r="O40" i="38" l="1"/>
  <c r="U46" i="42"/>
  <c r="U50" i="37" s="1"/>
  <c r="U44" i="42"/>
  <c r="T61" i="36" s="1"/>
  <c r="U45" i="42"/>
  <c r="T47" i="38" s="1"/>
  <c r="T49" i="38" s="1"/>
  <c r="AQ43" i="2"/>
  <c r="AQ32" i="2" s="1"/>
  <c r="AQ41" i="2"/>
  <c r="AQ30" i="2" s="1"/>
  <c r="AQ42" i="2"/>
  <c r="AQ31" i="2" s="1"/>
  <c r="AR39" i="2"/>
  <c r="AR28" i="2" s="1"/>
  <c r="AQ40" i="2"/>
  <c r="AQ29" i="2" s="1"/>
  <c r="AQ38" i="2"/>
  <c r="AQ27" i="2" s="1"/>
  <c r="AR37" i="2"/>
  <c r="AR26" i="2" s="1"/>
  <c r="AQ36" i="2"/>
  <c r="AQ25" i="2" s="1"/>
  <c r="AC8" i="22"/>
  <c r="AB15" i="22"/>
  <c r="U66" i="2"/>
  <c r="I57" i="36" s="1"/>
  <c r="W16" i="22"/>
  <c r="P39" i="36" s="1"/>
  <c r="Q39" i="37" s="1"/>
  <c r="P40" i="38" l="1"/>
  <c r="V44" i="42"/>
  <c r="U61" i="36" s="1"/>
  <c r="V45" i="42"/>
  <c r="U47" i="38" s="1"/>
  <c r="U49" i="38" s="1"/>
  <c r="V46" i="42"/>
  <c r="V50" i="37" s="1"/>
  <c r="AR43" i="2"/>
  <c r="AR32" i="2" s="1"/>
  <c r="AR38" i="2"/>
  <c r="AR27" i="2" s="1"/>
  <c r="AR40" i="2"/>
  <c r="AR29" i="2" s="1"/>
  <c r="AR42" i="2"/>
  <c r="AR31" i="2" s="1"/>
  <c r="AS39" i="2"/>
  <c r="AS28" i="2" s="1"/>
  <c r="AR41" i="2"/>
  <c r="AR30" i="2" s="1"/>
  <c r="AS37" i="2"/>
  <c r="AS26" i="2" s="1"/>
  <c r="AR36" i="2"/>
  <c r="AR25" i="2" s="1"/>
  <c r="AD8" i="22"/>
  <c r="AC15" i="22"/>
  <c r="V66" i="2"/>
  <c r="J57" i="36" s="1"/>
  <c r="X16" i="22"/>
  <c r="Q39" i="36" s="1"/>
  <c r="R39" i="37" s="1"/>
  <c r="Q40" i="38" l="1"/>
  <c r="W46" i="42"/>
  <c r="W50" i="37" s="1"/>
  <c r="W44" i="42"/>
  <c r="V61" i="36" s="1"/>
  <c r="W45" i="42"/>
  <c r="V47" i="38" s="1"/>
  <c r="V49" i="38" s="1"/>
  <c r="AS43" i="2"/>
  <c r="AS32" i="2" s="1"/>
  <c r="AT39" i="2"/>
  <c r="AT28" i="2" s="1"/>
  <c r="AS42" i="2"/>
  <c r="AS31" i="2" s="1"/>
  <c r="AS38" i="2"/>
  <c r="AS27" i="2" s="1"/>
  <c r="AS41" i="2"/>
  <c r="AS30" i="2" s="1"/>
  <c r="AS40" i="2"/>
  <c r="AS29" i="2" s="1"/>
  <c r="AT37" i="2"/>
  <c r="AT26" i="2" s="1"/>
  <c r="AS36" i="2"/>
  <c r="AS25" i="2" s="1"/>
  <c r="AE8" i="22"/>
  <c r="AD15" i="22"/>
  <c r="W66" i="2"/>
  <c r="K57" i="36" s="1"/>
  <c r="Y16" i="22"/>
  <c r="R39" i="36" s="1"/>
  <c r="S39" i="37" s="1"/>
  <c r="B12" i="37"/>
  <c r="R40" i="38" l="1"/>
  <c r="X46" i="42"/>
  <c r="X50" i="37" s="1"/>
  <c r="X44" i="42"/>
  <c r="W61" i="36" s="1"/>
  <c r="X45" i="42"/>
  <c r="W47" i="38" s="1"/>
  <c r="W49" i="38" s="1"/>
  <c r="AT43" i="2"/>
  <c r="AT32" i="2" s="1"/>
  <c r="AT40" i="2"/>
  <c r="AT29" i="2" s="1"/>
  <c r="AT41" i="2"/>
  <c r="AT30" i="2" s="1"/>
  <c r="AT42" i="2"/>
  <c r="AT31" i="2" s="1"/>
  <c r="AT38" i="2"/>
  <c r="AT27" i="2" s="1"/>
  <c r="AU39" i="2"/>
  <c r="AU28" i="2" s="1"/>
  <c r="AU37" i="2"/>
  <c r="AU26" i="2" s="1"/>
  <c r="AT36" i="2"/>
  <c r="AT25" i="2" s="1"/>
  <c r="AF8" i="22"/>
  <c r="AE15" i="22"/>
  <c r="X66" i="2"/>
  <c r="L57" i="36" s="1"/>
  <c r="Z16" i="22"/>
  <c r="S39" i="36" s="1"/>
  <c r="T39" i="37" s="1"/>
  <c r="S40" i="38" l="1"/>
  <c r="Y44" i="42"/>
  <c r="X61" i="36" s="1"/>
  <c r="Y45" i="42"/>
  <c r="X47" i="38" s="1"/>
  <c r="X49" i="38" s="1"/>
  <c r="Y46" i="42"/>
  <c r="Y50" i="37" s="1"/>
  <c r="AU43" i="2"/>
  <c r="AU32" i="2" s="1"/>
  <c r="AV39" i="2"/>
  <c r="AV28" i="2" s="1"/>
  <c r="AU41" i="2"/>
  <c r="AU30" i="2" s="1"/>
  <c r="AU38" i="2"/>
  <c r="AU27" i="2" s="1"/>
  <c r="AU42" i="2"/>
  <c r="AU31" i="2" s="1"/>
  <c r="AU40" i="2"/>
  <c r="AU29" i="2" s="1"/>
  <c r="AV37" i="2"/>
  <c r="AV26" i="2" s="1"/>
  <c r="AU36" i="2"/>
  <c r="AU25" i="2" s="1"/>
  <c r="AG8" i="22"/>
  <c r="AF15" i="22"/>
  <c r="Y66" i="2"/>
  <c r="M57" i="36" s="1"/>
  <c r="AA16" i="22"/>
  <c r="T39" i="36" s="1"/>
  <c r="U39" i="37" s="1"/>
  <c r="T40" i="38" l="1"/>
  <c r="Z44" i="42"/>
  <c r="Y61" i="36" s="1"/>
  <c r="Z45" i="42"/>
  <c r="Y47" i="38" s="1"/>
  <c r="Y49" i="38" s="1"/>
  <c r="Z46" i="42"/>
  <c r="Z50" i="37" s="1"/>
  <c r="AV43" i="2"/>
  <c r="AV32" i="2" s="1"/>
  <c r="AV40" i="2"/>
  <c r="AV29" i="2" s="1"/>
  <c r="AV38" i="2"/>
  <c r="AV27" i="2" s="1"/>
  <c r="AV42" i="2"/>
  <c r="AV31" i="2" s="1"/>
  <c r="AV41" i="2"/>
  <c r="AV30" i="2" s="1"/>
  <c r="AW39" i="2"/>
  <c r="AW28" i="2" s="1"/>
  <c r="AW37" i="2"/>
  <c r="AW26" i="2" s="1"/>
  <c r="AV36" i="2"/>
  <c r="AV25" i="2" s="1"/>
  <c r="AH8" i="22"/>
  <c r="AG15" i="22"/>
  <c r="Z66" i="2"/>
  <c r="N57" i="36" s="1"/>
  <c r="AB16" i="22"/>
  <c r="U39" i="36" s="1"/>
  <c r="V39" i="37" s="1"/>
  <c r="U40" i="38" l="1"/>
  <c r="AA44" i="42"/>
  <c r="Z61" i="36" s="1"/>
  <c r="AA46" i="42"/>
  <c r="AA50" i="37" s="1"/>
  <c r="AA45" i="42"/>
  <c r="Z47" i="38" s="1"/>
  <c r="Z49" i="38" s="1"/>
  <c r="AW43" i="2"/>
  <c r="AW32" i="2" s="1"/>
  <c r="AX39" i="2"/>
  <c r="AX28" i="2" s="1"/>
  <c r="AW42" i="2"/>
  <c r="AW31" i="2" s="1"/>
  <c r="AW38" i="2"/>
  <c r="AW27" i="2" s="1"/>
  <c r="AW41" i="2"/>
  <c r="AW30" i="2" s="1"/>
  <c r="AW40" i="2"/>
  <c r="AW29" i="2" s="1"/>
  <c r="AX37" i="2"/>
  <c r="AX26" i="2" s="1"/>
  <c r="AW36" i="2"/>
  <c r="AW25" i="2" s="1"/>
  <c r="AI8" i="22"/>
  <c r="AH15" i="22"/>
  <c r="AC16" i="22"/>
  <c r="V39" i="36" s="1"/>
  <c r="W39" i="37" s="1"/>
  <c r="G17" i="45"/>
  <c r="F17" i="45"/>
  <c r="E17" i="45"/>
  <c r="D17" i="45"/>
  <c r="C17" i="45"/>
  <c r="A16" i="45"/>
  <c r="A15" i="45"/>
  <c r="G4" i="45"/>
  <c r="N5" i="45" s="1"/>
  <c r="F4" i="45"/>
  <c r="M5" i="45" s="1"/>
  <c r="E4" i="45"/>
  <c r="L5" i="45" s="1"/>
  <c r="D4" i="45"/>
  <c r="K5" i="45" s="1"/>
  <c r="C4" i="45"/>
  <c r="J5" i="45" s="1"/>
  <c r="A2" i="45"/>
  <c r="V40" i="38" l="1"/>
  <c r="AB46" i="42"/>
  <c r="AB50" i="37" s="1"/>
  <c r="AB44" i="42"/>
  <c r="AA61" i="36" s="1"/>
  <c r="AB45" i="42"/>
  <c r="AA47" i="38" s="1"/>
  <c r="AA49" i="38" s="1"/>
  <c r="AX43" i="2"/>
  <c r="AX32" i="2" s="1"/>
  <c r="AX38" i="2"/>
  <c r="AX27" i="2" s="1"/>
  <c r="AY28" i="2"/>
  <c r="AX40" i="2"/>
  <c r="AX29" i="2" s="1"/>
  <c r="AX41" i="2"/>
  <c r="AX30" i="2" s="1"/>
  <c r="AX42" i="2"/>
  <c r="AX31" i="2" s="1"/>
  <c r="AY26" i="2"/>
  <c r="AX36" i="2"/>
  <c r="AX25" i="2" s="1"/>
  <c r="AJ8" i="22"/>
  <c r="AI15" i="22"/>
  <c r="AD16" i="22"/>
  <c r="W39" i="36" s="1"/>
  <c r="X39" i="37" s="1"/>
  <c r="A19" i="43"/>
  <c r="A18" i="43"/>
  <c r="I7" i="43"/>
  <c r="I14" i="43" s="1"/>
  <c r="I6" i="43"/>
  <c r="I13" i="43" s="1"/>
  <c r="I5" i="43"/>
  <c r="I12" i="43" s="1"/>
  <c r="I4" i="43"/>
  <c r="I11" i="43" s="1"/>
  <c r="N2" i="43"/>
  <c r="M2" i="43"/>
  <c r="L2" i="43"/>
  <c r="K2" i="43"/>
  <c r="J2" i="43"/>
  <c r="W40" i="38" l="1"/>
  <c r="AC46" i="42"/>
  <c r="AC50" i="37" s="1"/>
  <c r="AC44" i="42"/>
  <c r="AB61" i="36" s="1"/>
  <c r="AC45" i="42"/>
  <c r="AB47" i="38" s="1"/>
  <c r="AB49" i="38" s="1"/>
  <c r="L3" i="43"/>
  <c r="D2" i="43"/>
  <c r="J3" i="43"/>
  <c r="B2" i="43"/>
  <c r="M3" i="43"/>
  <c r="E2" i="43"/>
  <c r="N3" i="43"/>
  <c r="F2" i="43"/>
  <c r="K3" i="43"/>
  <c r="C2" i="43"/>
  <c r="AY32" i="2"/>
  <c r="AY31" i="2"/>
  <c r="AY29" i="2"/>
  <c r="AY27" i="2"/>
  <c r="AY30" i="2"/>
  <c r="AZ39" i="2"/>
  <c r="AZ28" i="2" s="1"/>
  <c r="AZ37" i="2"/>
  <c r="AZ26" i="2" s="1"/>
  <c r="AY25" i="2"/>
  <c r="L7" i="43"/>
  <c r="AK8" i="22"/>
  <c r="AJ15" i="22"/>
  <c r="AE16" i="22"/>
  <c r="X39" i="36" s="1"/>
  <c r="Y39" i="37" s="1"/>
  <c r="F17" i="43" l="1"/>
  <c r="I9" i="46"/>
  <c r="I3" i="49" s="1"/>
  <c r="B17" i="43"/>
  <c r="E9" i="46"/>
  <c r="E3" i="49" s="1"/>
  <c r="C17" i="43"/>
  <c r="F9" i="46"/>
  <c r="F3" i="49" s="1"/>
  <c r="E17" i="43"/>
  <c r="H9" i="46"/>
  <c r="H3" i="49" s="1"/>
  <c r="D17" i="43"/>
  <c r="G9" i="46"/>
  <c r="G3" i="49" s="1"/>
  <c r="X40" i="38"/>
  <c r="AD46" i="42"/>
  <c r="AD50" i="37" s="1"/>
  <c r="AD45" i="42"/>
  <c r="AC47" i="38" s="1"/>
  <c r="AC49" i="38" s="1"/>
  <c r="AD44" i="42"/>
  <c r="AC61" i="36" s="1"/>
  <c r="AZ43" i="2"/>
  <c r="AZ32" i="2" s="1"/>
  <c r="BA39" i="2"/>
  <c r="BA28" i="2" s="1"/>
  <c r="AZ38" i="2"/>
  <c r="AZ27" i="2" s="1"/>
  <c r="AZ42" i="2"/>
  <c r="AZ31" i="2" s="1"/>
  <c r="AZ41" i="2"/>
  <c r="AZ30" i="2" s="1"/>
  <c r="AZ40" i="2"/>
  <c r="AZ29" i="2" s="1"/>
  <c r="BA37" i="2"/>
  <c r="BA26" i="2" s="1"/>
  <c r="AZ36" i="2"/>
  <c r="AZ25" i="2" s="1"/>
  <c r="L14" i="43"/>
  <c r="L13" i="43"/>
  <c r="L6" i="43"/>
  <c r="L12" i="43"/>
  <c r="L5" i="43"/>
  <c r="AL8" i="22"/>
  <c r="AK15" i="22"/>
  <c r="AF16" i="22"/>
  <c r="Y39" i="36" s="1"/>
  <c r="Z39" i="37" s="1"/>
  <c r="I16" i="46" l="1"/>
  <c r="H16" i="46"/>
  <c r="E16" i="46"/>
  <c r="G16" i="46"/>
  <c r="F16" i="46"/>
  <c r="Y40" i="38"/>
  <c r="AE46" i="42"/>
  <c r="AE50" i="37" s="1"/>
  <c r="AE44" i="42"/>
  <c r="AD61" i="36" s="1"/>
  <c r="AE45" i="42"/>
  <c r="AD47" i="38" s="1"/>
  <c r="AD49" i="38" s="1"/>
  <c r="BA43" i="2"/>
  <c r="BA32" i="2" s="1"/>
  <c r="BA40" i="2"/>
  <c r="BA29" i="2" s="1"/>
  <c r="BA38" i="2"/>
  <c r="BA27" i="2" s="1"/>
  <c r="BA41" i="2"/>
  <c r="BA30" i="2" s="1"/>
  <c r="BA42" i="2"/>
  <c r="BA31" i="2" s="1"/>
  <c r="BB39" i="2"/>
  <c r="BB28" i="2" s="1"/>
  <c r="BB37" i="2"/>
  <c r="BB26" i="2" s="1"/>
  <c r="BA36" i="2"/>
  <c r="BA25" i="2" s="1"/>
  <c r="AM8" i="22"/>
  <c r="AL15" i="22"/>
  <c r="AG16" i="22"/>
  <c r="Z39" i="36" s="1"/>
  <c r="AA39" i="37" s="1"/>
  <c r="BM22" i="21"/>
  <c r="BL22" i="21"/>
  <c r="BK22" i="21"/>
  <c r="BJ22" i="21"/>
  <c r="BI22" i="21"/>
  <c r="BH22" i="21"/>
  <c r="BG22" i="21"/>
  <c r="BF22" i="21"/>
  <c r="BE22" i="21"/>
  <c r="BD22" i="21"/>
  <c r="BC22" i="21"/>
  <c r="BB22" i="21"/>
  <c r="AO22" i="21"/>
  <c r="BA22" i="21" s="1"/>
  <c r="AN22" i="21"/>
  <c r="AZ22" i="21" s="1"/>
  <c r="AM22" i="21"/>
  <c r="AY22" i="21" s="1"/>
  <c r="AL22" i="21"/>
  <c r="AX22" i="21" s="1"/>
  <c r="AK22" i="21"/>
  <c r="AW22" i="21" s="1"/>
  <c r="AJ22" i="21"/>
  <c r="AV22" i="21" s="1"/>
  <c r="AI22" i="21"/>
  <c r="AU22" i="21" s="1"/>
  <c r="AH22" i="21"/>
  <c r="AT22" i="21" s="1"/>
  <c r="AG22" i="21"/>
  <c r="AS22" i="21" s="1"/>
  <c r="AF22" i="21"/>
  <c r="AR22" i="21" s="1"/>
  <c r="AE22" i="21"/>
  <c r="AQ22" i="21" s="1"/>
  <c r="AD22" i="21"/>
  <c r="AP22" i="21" s="1"/>
  <c r="Q22" i="21"/>
  <c r="AC22" i="21" s="1"/>
  <c r="P22" i="21"/>
  <c r="AB22" i="21" s="1"/>
  <c r="O22" i="21"/>
  <c r="AA22" i="21" s="1"/>
  <c r="N22" i="21"/>
  <c r="Z22" i="21" s="1"/>
  <c r="M22" i="21"/>
  <c r="Y22" i="21" s="1"/>
  <c r="L22" i="21"/>
  <c r="X22" i="21" s="1"/>
  <c r="K22" i="21"/>
  <c r="W22" i="21" s="1"/>
  <c r="J22" i="21"/>
  <c r="V22" i="21" s="1"/>
  <c r="I22" i="21"/>
  <c r="U22" i="21" s="1"/>
  <c r="H22" i="21"/>
  <c r="T22" i="21" s="1"/>
  <c r="G22" i="21"/>
  <c r="S22" i="21" s="1"/>
  <c r="F22" i="21"/>
  <c r="R22" i="21" s="1"/>
  <c r="K10" i="22"/>
  <c r="L10" i="22" s="1"/>
  <c r="M10" i="22" s="1"/>
  <c r="N10" i="22" s="1"/>
  <c r="O10" i="22" s="1"/>
  <c r="P10" i="22" s="1"/>
  <c r="Q10" i="22" s="1"/>
  <c r="R10" i="22" s="1"/>
  <c r="S10" i="22" s="1"/>
  <c r="T10" i="22" s="1"/>
  <c r="U10" i="22" s="1"/>
  <c r="V10" i="22" s="1"/>
  <c r="W10" i="22" s="1"/>
  <c r="X10" i="22" s="1"/>
  <c r="Y10" i="22" s="1"/>
  <c r="Z10" i="22" s="1"/>
  <c r="AA10" i="22" s="1"/>
  <c r="AB10" i="22" s="1"/>
  <c r="AC10" i="22" s="1"/>
  <c r="AD10" i="22" s="1"/>
  <c r="AE10" i="22" s="1"/>
  <c r="AF10" i="22" s="1"/>
  <c r="AG10" i="22" s="1"/>
  <c r="AH10" i="22" s="1"/>
  <c r="AI10" i="22" s="1"/>
  <c r="AJ10" i="22" s="1"/>
  <c r="AK10" i="22" s="1"/>
  <c r="AL10" i="22" s="1"/>
  <c r="AM10" i="22" s="1"/>
  <c r="AN10" i="22" s="1"/>
  <c r="AO10" i="22" s="1"/>
  <c r="AP10" i="22" s="1"/>
  <c r="AQ10" i="22" s="1"/>
  <c r="AR10" i="22" s="1"/>
  <c r="AS10" i="22" s="1"/>
  <c r="AT10" i="22" s="1"/>
  <c r="AU10" i="22" s="1"/>
  <c r="AV10" i="22" s="1"/>
  <c r="AW10" i="22" s="1"/>
  <c r="AX10" i="22" s="1"/>
  <c r="AY10" i="22" s="1"/>
  <c r="AZ10" i="22" s="1"/>
  <c r="BA10" i="22" s="1"/>
  <c r="BB10" i="22" s="1"/>
  <c r="BC10" i="22" s="1"/>
  <c r="BD10" i="22" s="1"/>
  <c r="BE10" i="22" s="1"/>
  <c r="BF10" i="22" s="1"/>
  <c r="BG10" i="22" s="1"/>
  <c r="BH10" i="22" s="1"/>
  <c r="BI10" i="22" s="1"/>
  <c r="BJ10" i="22" s="1"/>
  <c r="BK10" i="22" s="1"/>
  <c r="BL10" i="22" s="1"/>
  <c r="BM10" i="22" s="1"/>
  <c r="BN10" i="22" s="1"/>
  <c r="BO10" i="22" s="1"/>
  <c r="BP10" i="22" s="1"/>
  <c r="BQ10" i="22" s="1"/>
  <c r="BQ6" i="22"/>
  <c r="BP6" i="22"/>
  <c r="BO6" i="22"/>
  <c r="BN6" i="22"/>
  <c r="BM6" i="22"/>
  <c r="BL6" i="22"/>
  <c r="BK6" i="22"/>
  <c r="BJ6" i="22"/>
  <c r="BI6" i="22"/>
  <c r="BH6" i="22"/>
  <c r="BG6" i="22"/>
  <c r="BF6" i="22"/>
  <c r="BE6" i="22"/>
  <c r="BD6" i="22"/>
  <c r="BC6" i="22"/>
  <c r="BB6" i="22"/>
  <c r="BA6" i="22"/>
  <c r="AZ6" i="22"/>
  <c r="AY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L6" i="22"/>
  <c r="AK6" i="22"/>
  <c r="AJ6" i="22"/>
  <c r="AI6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Z40" i="38" l="1"/>
  <c r="AF44" i="42"/>
  <c r="AE61" i="36" s="1"/>
  <c r="AF45" i="42"/>
  <c r="AE47" i="38" s="1"/>
  <c r="AE49" i="38" s="1"/>
  <c r="AF46" i="42"/>
  <c r="AF50" i="37" s="1"/>
  <c r="D19" i="45"/>
  <c r="D6" i="45"/>
  <c r="BB43" i="2"/>
  <c r="BB32" i="2" s="1"/>
  <c r="BC39" i="2"/>
  <c r="BC28" i="2" s="1"/>
  <c r="BB41" i="2"/>
  <c r="BB30" i="2" s="1"/>
  <c r="BB42" i="2"/>
  <c r="BB31" i="2" s="1"/>
  <c r="BB38" i="2"/>
  <c r="BB27" i="2" s="1"/>
  <c r="BB40" i="2"/>
  <c r="BB29" i="2" s="1"/>
  <c r="BC37" i="2"/>
  <c r="BC26" i="2" s="1"/>
  <c r="BB36" i="2"/>
  <c r="BB25" i="2" s="1"/>
  <c r="AN8" i="22"/>
  <c r="AM15" i="22"/>
  <c r="D7" i="22"/>
  <c r="K11" i="43" s="1"/>
  <c r="AH16" i="22"/>
  <c r="AA39" i="36" s="1"/>
  <c r="AB39" i="37" s="1"/>
  <c r="H24" i="21"/>
  <c r="L24" i="21"/>
  <c r="P24" i="21"/>
  <c r="T24" i="21"/>
  <c r="X24" i="21"/>
  <c r="AB24" i="21"/>
  <c r="AF24" i="21"/>
  <c r="AJ24" i="21"/>
  <c r="AN24" i="21"/>
  <c r="AR24" i="21"/>
  <c r="AV24" i="21"/>
  <c r="AZ24" i="21"/>
  <c r="BD24" i="21"/>
  <c r="BH24" i="21"/>
  <c r="BL24" i="21"/>
  <c r="AO24" i="21"/>
  <c r="AW24" i="21"/>
  <c r="BE24" i="21"/>
  <c r="BM24" i="21"/>
  <c r="R24" i="21"/>
  <c r="AD24" i="21"/>
  <c r="AP24" i="21"/>
  <c r="AX24" i="21"/>
  <c r="BJ24" i="21"/>
  <c r="G24" i="21"/>
  <c r="O24" i="21"/>
  <c r="W24" i="21"/>
  <c r="AE24" i="21"/>
  <c r="AM24" i="21"/>
  <c r="AU24" i="21"/>
  <c r="BC24" i="21"/>
  <c r="BK24" i="21"/>
  <c r="I24" i="21"/>
  <c r="M24" i="21"/>
  <c r="Q24" i="21"/>
  <c r="U24" i="21"/>
  <c r="Y24" i="21"/>
  <c r="AC24" i="21"/>
  <c r="AG24" i="21"/>
  <c r="AK24" i="21"/>
  <c r="AS24" i="21"/>
  <c r="BA24" i="21"/>
  <c r="BI24" i="21"/>
  <c r="J24" i="21"/>
  <c r="N24" i="21"/>
  <c r="V24" i="21"/>
  <c r="Z24" i="21"/>
  <c r="AH24" i="21"/>
  <c r="AL24" i="21"/>
  <c r="AT24" i="21"/>
  <c r="BB24" i="21"/>
  <c r="BF24" i="21"/>
  <c r="K24" i="21"/>
  <c r="S24" i="21"/>
  <c r="AA24" i="21"/>
  <c r="AI24" i="21"/>
  <c r="AQ24" i="21"/>
  <c r="AY24" i="21"/>
  <c r="BG24" i="21"/>
  <c r="G23" i="21"/>
  <c r="H23" i="21" s="1"/>
  <c r="I23" i="21" s="1"/>
  <c r="J23" i="21" s="1"/>
  <c r="K23" i="21" s="1"/>
  <c r="L23" i="21" s="1"/>
  <c r="M23" i="21" s="1"/>
  <c r="N23" i="21" s="1"/>
  <c r="O23" i="21" s="1"/>
  <c r="P23" i="21" s="1"/>
  <c r="Q23" i="21" s="1"/>
  <c r="R23" i="21" s="1"/>
  <c r="S23" i="21" s="1"/>
  <c r="T23" i="21" s="1"/>
  <c r="U23" i="21" s="1"/>
  <c r="V23" i="21" s="1"/>
  <c r="W23" i="21" s="1"/>
  <c r="X23" i="21" s="1"/>
  <c r="Y23" i="21" s="1"/>
  <c r="Z23" i="21" s="1"/>
  <c r="AA23" i="21" s="1"/>
  <c r="AB23" i="21" s="1"/>
  <c r="AC23" i="21" s="1"/>
  <c r="AD23" i="21" s="1"/>
  <c r="AE23" i="21" s="1"/>
  <c r="AF23" i="21" s="1"/>
  <c r="AG23" i="21" s="1"/>
  <c r="AH23" i="21" s="1"/>
  <c r="AI23" i="21" s="1"/>
  <c r="AJ23" i="21" s="1"/>
  <c r="AK23" i="21" s="1"/>
  <c r="AL23" i="21" s="1"/>
  <c r="AM23" i="21" s="1"/>
  <c r="AN23" i="21" s="1"/>
  <c r="AO23" i="21" s="1"/>
  <c r="AP23" i="21" s="1"/>
  <c r="AQ23" i="21" s="1"/>
  <c r="AR23" i="21" s="1"/>
  <c r="AS23" i="21" s="1"/>
  <c r="AT23" i="21" s="1"/>
  <c r="AU23" i="21" s="1"/>
  <c r="AV23" i="21" s="1"/>
  <c r="AW23" i="21" s="1"/>
  <c r="AX23" i="21" s="1"/>
  <c r="AY23" i="21" s="1"/>
  <c r="AZ23" i="21" s="1"/>
  <c r="BA23" i="21" s="1"/>
  <c r="BB23" i="21" s="1"/>
  <c r="BC23" i="21" s="1"/>
  <c r="BD23" i="21" s="1"/>
  <c r="BE23" i="21" s="1"/>
  <c r="BF23" i="21" s="1"/>
  <c r="BG23" i="21" s="1"/>
  <c r="BH23" i="21" s="1"/>
  <c r="BI23" i="21" s="1"/>
  <c r="BJ23" i="21" s="1"/>
  <c r="BK23" i="21" s="1"/>
  <c r="BL23" i="21" s="1"/>
  <c r="BM23" i="21" s="1"/>
  <c r="R12" i="22"/>
  <c r="K38" i="36" s="1"/>
  <c r="Q12" i="22"/>
  <c r="J38" i="36" s="1"/>
  <c r="V12" i="22"/>
  <c r="O38" i="36" s="1"/>
  <c r="N12" i="22"/>
  <c r="G38" i="36" s="1"/>
  <c r="U12" i="22"/>
  <c r="N38" i="36" s="1"/>
  <c r="M12" i="22"/>
  <c r="F38" i="36" s="1"/>
  <c r="AH12" i="22"/>
  <c r="AA38" i="36" s="1"/>
  <c r="Y12" i="22"/>
  <c r="R38" i="36" s="1"/>
  <c r="AF12" i="22"/>
  <c r="Y38" i="36" s="1"/>
  <c r="AB12" i="22"/>
  <c r="U38" i="36" s="1"/>
  <c r="X12" i="22"/>
  <c r="Q38" i="36" s="1"/>
  <c r="T12" i="22"/>
  <c r="M38" i="36" s="1"/>
  <c r="P12" i="22"/>
  <c r="I38" i="36" s="1"/>
  <c r="L12" i="22"/>
  <c r="E38" i="36" s="1"/>
  <c r="AD12" i="22"/>
  <c r="W38" i="36" s="1"/>
  <c r="Z12" i="22"/>
  <c r="S38" i="36" s="1"/>
  <c r="AG12" i="22"/>
  <c r="Z38" i="36" s="1"/>
  <c r="AC12" i="22"/>
  <c r="V38" i="36" s="1"/>
  <c r="AE12" i="22"/>
  <c r="X38" i="36" s="1"/>
  <c r="AA12" i="22"/>
  <c r="T38" i="36" s="1"/>
  <c r="W12" i="22"/>
  <c r="P38" i="36" s="1"/>
  <c r="S12" i="22"/>
  <c r="L38" i="36" s="1"/>
  <c r="O12" i="22"/>
  <c r="H38" i="36" s="1"/>
  <c r="K12" i="22"/>
  <c r="D38" i="36" s="1"/>
  <c r="L40" i="36" l="1"/>
  <c r="M38" i="37"/>
  <c r="M40" i="37"/>
  <c r="E40" i="36"/>
  <c r="F38" i="37"/>
  <c r="F40" i="37"/>
  <c r="U40" i="36"/>
  <c r="V38" i="37"/>
  <c r="V40" i="37"/>
  <c r="J40" i="36"/>
  <c r="K40" i="37"/>
  <c r="K38" i="37"/>
  <c r="Z40" i="36"/>
  <c r="AA40" i="37"/>
  <c r="AA38" i="37"/>
  <c r="H40" i="36"/>
  <c r="I38" i="37"/>
  <c r="I40" i="37"/>
  <c r="X40" i="36"/>
  <c r="Y38" i="37"/>
  <c r="Y40" i="37"/>
  <c r="W40" i="36"/>
  <c r="X40" i="37"/>
  <c r="X38" i="37"/>
  <c r="Q40" i="36"/>
  <c r="R38" i="37"/>
  <c r="R40" i="37"/>
  <c r="AA40" i="36"/>
  <c r="AB40" i="37"/>
  <c r="AB38" i="37"/>
  <c r="O40" i="36"/>
  <c r="P40" i="37"/>
  <c r="P38" i="37"/>
  <c r="V40" i="36"/>
  <c r="W40" i="37"/>
  <c r="W38" i="37"/>
  <c r="F40" i="36"/>
  <c r="G40" i="37"/>
  <c r="G38" i="37"/>
  <c r="P40" i="36"/>
  <c r="Q38" i="37"/>
  <c r="Q40" i="37"/>
  <c r="I40" i="36"/>
  <c r="J38" i="37"/>
  <c r="J40" i="37"/>
  <c r="Y40" i="36"/>
  <c r="Z38" i="37"/>
  <c r="Z39" i="38" s="1"/>
  <c r="Z40" i="37"/>
  <c r="N40" i="36"/>
  <c r="O40" i="37"/>
  <c r="O38" i="37"/>
  <c r="K40" i="36"/>
  <c r="L40" i="37"/>
  <c r="L38" i="37"/>
  <c r="D40" i="36"/>
  <c r="E38" i="37"/>
  <c r="E40" i="37"/>
  <c r="T40" i="36"/>
  <c r="U38" i="37"/>
  <c r="U40" i="37"/>
  <c r="S40" i="36"/>
  <c r="T40" i="37"/>
  <c r="T38" i="37"/>
  <c r="M40" i="36"/>
  <c r="N38" i="37"/>
  <c r="N40" i="37"/>
  <c r="N41" i="38" s="1"/>
  <c r="R40" i="36"/>
  <c r="S40" i="37"/>
  <c r="S38" i="37"/>
  <c r="G40" i="36"/>
  <c r="H40" i="37"/>
  <c r="H38" i="37"/>
  <c r="AA40" i="38"/>
  <c r="AG44" i="42"/>
  <c r="AF61" i="36" s="1"/>
  <c r="AG45" i="42"/>
  <c r="AF47" i="38" s="1"/>
  <c r="AF49" i="38" s="1"/>
  <c r="AG46" i="42"/>
  <c r="AG50" i="37" s="1"/>
  <c r="D18" i="45"/>
  <c r="D5" i="45"/>
  <c r="C18" i="45"/>
  <c r="C5" i="45"/>
  <c r="BC43" i="2"/>
  <c r="BC32" i="2" s="1"/>
  <c r="BC40" i="2"/>
  <c r="BC29" i="2" s="1"/>
  <c r="BC42" i="2"/>
  <c r="BC31" i="2" s="1"/>
  <c r="BC41" i="2"/>
  <c r="BC30" i="2" s="1"/>
  <c r="BC38" i="2"/>
  <c r="BC27" i="2" s="1"/>
  <c r="BD39" i="2"/>
  <c r="BD28" i="2" s="1"/>
  <c r="BD37" i="2"/>
  <c r="BD26" i="2" s="1"/>
  <c r="BC36" i="2"/>
  <c r="BC25" i="2" s="1"/>
  <c r="AO8" i="22"/>
  <c r="AN15" i="22"/>
  <c r="AC66" i="2"/>
  <c r="Q57" i="36" s="1"/>
  <c r="AA66" i="2"/>
  <c r="O57" i="36" s="1"/>
  <c r="AG66" i="2"/>
  <c r="U57" i="36" s="1"/>
  <c r="AB66" i="2"/>
  <c r="P57" i="36" s="1"/>
  <c r="AF66" i="2"/>
  <c r="T57" i="36" s="1"/>
  <c r="AE66" i="2"/>
  <c r="S57" i="36" s="1"/>
  <c r="AD66" i="2"/>
  <c r="R57" i="36" s="1"/>
  <c r="AI16" i="22"/>
  <c r="AB39" i="36" s="1"/>
  <c r="AC39" i="37" s="1"/>
  <c r="AI12" i="22"/>
  <c r="AB38" i="36" s="1"/>
  <c r="C6" i="22"/>
  <c r="J4" i="43" s="1"/>
  <c r="D6" i="22"/>
  <c r="W41" i="38" l="1"/>
  <c r="J8" i="43"/>
  <c r="X39" i="38"/>
  <c r="T39" i="38"/>
  <c r="T41" i="38"/>
  <c r="L39" i="38"/>
  <c r="Q39" i="38"/>
  <c r="H39" i="38"/>
  <c r="U41" i="38"/>
  <c r="Z41" i="38"/>
  <c r="H41" i="38"/>
  <c r="U39" i="38"/>
  <c r="O39" i="38"/>
  <c r="X41" i="38"/>
  <c r="P41" i="38"/>
  <c r="K39" i="38"/>
  <c r="V39" i="38"/>
  <c r="G39" i="38"/>
  <c r="R41" i="38"/>
  <c r="AA39" i="38"/>
  <c r="K41" i="38"/>
  <c r="Q41" i="38"/>
  <c r="AC38" i="37"/>
  <c r="AB39" i="38" s="1"/>
  <c r="AC40" i="37"/>
  <c r="AB41" i="38" s="1"/>
  <c r="O41" i="38"/>
  <c r="S39" i="38"/>
  <c r="N39" i="38"/>
  <c r="E41" i="38"/>
  <c r="D41" i="38"/>
  <c r="L41" i="38"/>
  <c r="J41" i="38"/>
  <c r="AB40" i="38"/>
  <c r="R39" i="38"/>
  <c r="I41" i="38"/>
  <c r="AA41" i="38"/>
  <c r="F41" i="38"/>
  <c r="M39" i="38"/>
  <c r="Y39" i="38"/>
  <c r="G41" i="38"/>
  <c r="M41" i="38"/>
  <c r="S41" i="38"/>
  <c r="E39" i="38"/>
  <c r="D39" i="38"/>
  <c r="J39" i="38"/>
  <c r="W39" i="38"/>
  <c r="P39" i="38"/>
  <c r="Y41" i="38"/>
  <c r="I39" i="38"/>
  <c r="V41" i="38"/>
  <c r="F39" i="38"/>
  <c r="AB40" i="36"/>
  <c r="AH44" i="42"/>
  <c r="AG61" i="36" s="1"/>
  <c r="AH45" i="42"/>
  <c r="AG47" i="38" s="1"/>
  <c r="AG49" i="38" s="1"/>
  <c r="AH46" i="42"/>
  <c r="AH50" i="37" s="1"/>
  <c r="BD43" i="2"/>
  <c r="BD32" i="2" s="1"/>
  <c r="BE39" i="2"/>
  <c r="BE28" i="2" s="1"/>
  <c r="BD38" i="2"/>
  <c r="BD27" i="2" s="1"/>
  <c r="BD42" i="2"/>
  <c r="BD31" i="2" s="1"/>
  <c r="BD41" i="2"/>
  <c r="BD30" i="2" s="1"/>
  <c r="BD40" i="2"/>
  <c r="BD29" i="2" s="1"/>
  <c r="BE37" i="2"/>
  <c r="BE26" i="2" s="1"/>
  <c r="BD36" i="2"/>
  <c r="BD25" i="2" s="1"/>
  <c r="AP8" i="22"/>
  <c r="AO15" i="22"/>
  <c r="AH66" i="2"/>
  <c r="V57" i="36" s="1"/>
  <c r="AJ16" i="22"/>
  <c r="AC39" i="36" s="1"/>
  <c r="AD39" i="37" s="1"/>
  <c r="AC40" i="38" s="1"/>
  <c r="AJ12" i="22"/>
  <c r="AC38" i="36" s="1"/>
  <c r="K4" i="43"/>
  <c r="AC40" i="36" l="1"/>
  <c r="AD38" i="37"/>
  <c r="AC39" i="38" s="1"/>
  <c r="AD40" i="37"/>
  <c r="AI44" i="42"/>
  <c r="AH61" i="36" s="1"/>
  <c r="AI45" i="42"/>
  <c r="AH47" i="38" s="1"/>
  <c r="AH49" i="38" s="1"/>
  <c r="AI46" i="42"/>
  <c r="AI50" i="37" s="1"/>
  <c r="BE43" i="2"/>
  <c r="BE32" i="2" s="1"/>
  <c r="BE38" i="2"/>
  <c r="BE27" i="2" s="1"/>
  <c r="BE40" i="2"/>
  <c r="BE29" i="2" s="1"/>
  <c r="BE41" i="2"/>
  <c r="BE30" i="2" s="1"/>
  <c r="BE42" i="2"/>
  <c r="BE31" i="2" s="1"/>
  <c r="BF39" i="2"/>
  <c r="BF28" i="2" s="1"/>
  <c r="BF37" i="2"/>
  <c r="BF26" i="2" s="1"/>
  <c r="BE36" i="2"/>
  <c r="BE25" i="2" s="1"/>
  <c r="AQ8" i="22"/>
  <c r="AP15" i="22"/>
  <c r="AI66" i="2"/>
  <c r="W57" i="36" s="1"/>
  <c r="AK16" i="22"/>
  <c r="AD39" i="36" s="1"/>
  <c r="AE39" i="37" s="1"/>
  <c r="AK12" i="22"/>
  <c r="AD38" i="36" s="1"/>
  <c r="AD40" i="36" l="1"/>
  <c r="AE40" i="37"/>
  <c r="AE38" i="37"/>
  <c r="AD39" i="38" s="1"/>
  <c r="AC41" i="38"/>
  <c r="AD40" i="38"/>
  <c r="AJ44" i="42"/>
  <c r="AI61" i="36" s="1"/>
  <c r="AJ45" i="42"/>
  <c r="AI47" i="38" s="1"/>
  <c r="AI49" i="38" s="1"/>
  <c r="AJ46" i="42"/>
  <c r="AJ50" i="37" s="1"/>
  <c r="BF43" i="2"/>
  <c r="BF32" i="2" s="1"/>
  <c r="BF42" i="2"/>
  <c r="BF31" i="2" s="1"/>
  <c r="BF38" i="2"/>
  <c r="BF27" i="2" s="1"/>
  <c r="BG39" i="2"/>
  <c r="BG28" i="2" s="1"/>
  <c r="BF41" i="2"/>
  <c r="BF30" i="2" s="1"/>
  <c r="BF40" i="2"/>
  <c r="BF29" i="2" s="1"/>
  <c r="BG37" i="2"/>
  <c r="BG26" i="2" s="1"/>
  <c r="BF36" i="2"/>
  <c r="BF25" i="2" s="1"/>
  <c r="AR8" i="22"/>
  <c r="AQ15" i="22"/>
  <c r="AJ66" i="2"/>
  <c r="X57" i="36" s="1"/>
  <c r="AL16" i="22"/>
  <c r="AE39" i="36" s="1"/>
  <c r="AF39" i="37" s="1"/>
  <c r="AL12" i="22"/>
  <c r="AE38" i="36" s="1"/>
  <c r="AE40" i="36" l="1"/>
  <c r="AF40" i="37"/>
  <c r="AF38" i="37"/>
  <c r="AE39" i="38" s="1"/>
  <c r="AE40" i="38"/>
  <c r="AD41" i="38"/>
  <c r="AK44" i="42"/>
  <c r="AJ61" i="36" s="1"/>
  <c r="AK45" i="42"/>
  <c r="AJ47" i="38" s="1"/>
  <c r="AJ49" i="38" s="1"/>
  <c r="AK46" i="42"/>
  <c r="AK50" i="37" s="1"/>
  <c r="BG43" i="2"/>
  <c r="BG32" i="2" s="1"/>
  <c r="BG40" i="2"/>
  <c r="BG29" i="2" s="1"/>
  <c r="BH39" i="2"/>
  <c r="BH28" i="2" s="1"/>
  <c r="BG41" i="2"/>
  <c r="BG30" i="2" s="1"/>
  <c r="BG38" i="2"/>
  <c r="BG27" i="2" s="1"/>
  <c r="BG42" i="2"/>
  <c r="BG31" i="2" s="1"/>
  <c r="BH37" i="2"/>
  <c r="BH26" i="2" s="1"/>
  <c r="BG36" i="2"/>
  <c r="BG25" i="2" s="1"/>
  <c r="AS8" i="22"/>
  <c r="AR15" i="22"/>
  <c r="AK66" i="2"/>
  <c r="Y57" i="36" s="1"/>
  <c r="AM16" i="22"/>
  <c r="AF39" i="36" s="1"/>
  <c r="AG39" i="37" s="1"/>
  <c r="AF40" i="38" s="1"/>
  <c r="AM12" i="22"/>
  <c r="AF38" i="36" s="1"/>
  <c r="AF40" i="36" l="1"/>
  <c r="AG38" i="37"/>
  <c r="AG40" i="37"/>
  <c r="AE41" i="38"/>
  <c r="AL44" i="42"/>
  <c r="AK61" i="36" s="1"/>
  <c r="AL45" i="42"/>
  <c r="AK47" i="38" s="1"/>
  <c r="AK49" i="38" s="1"/>
  <c r="AL46" i="42"/>
  <c r="AL50" i="37" s="1"/>
  <c r="BH43" i="2"/>
  <c r="BH32" i="2" s="1"/>
  <c r="BH38" i="2"/>
  <c r="BH27" i="2" s="1"/>
  <c r="BH40" i="2"/>
  <c r="BH29" i="2" s="1"/>
  <c r="BH42" i="2"/>
  <c r="BH31" i="2" s="1"/>
  <c r="BH41" i="2"/>
  <c r="BH30" i="2" s="1"/>
  <c r="BI39" i="2"/>
  <c r="BI28" i="2" s="1"/>
  <c r="BI37" i="2"/>
  <c r="BI26" i="2" s="1"/>
  <c r="BH36" i="2"/>
  <c r="BH25" i="2" s="1"/>
  <c r="AT8" i="22"/>
  <c r="AS15" i="22"/>
  <c r="AL66" i="2"/>
  <c r="Z57" i="36" s="1"/>
  <c r="AN16" i="22"/>
  <c r="AG39" i="36" s="1"/>
  <c r="AH39" i="37" s="1"/>
  <c r="AN12" i="22"/>
  <c r="AG38" i="36" s="1"/>
  <c r="AG40" i="38" l="1"/>
  <c r="AG40" i="36"/>
  <c r="AH38" i="37"/>
  <c r="AG39" i="38" s="1"/>
  <c r="AH40" i="37"/>
  <c r="AG41" i="38" s="1"/>
  <c r="AF39" i="38"/>
  <c r="AF41" i="38"/>
  <c r="AM45" i="42"/>
  <c r="AL47" i="38" s="1"/>
  <c r="AL49" i="38" s="1"/>
  <c r="AM44" i="42"/>
  <c r="AL61" i="36" s="1"/>
  <c r="AM46" i="42"/>
  <c r="AM50" i="37" s="1"/>
  <c r="BI43" i="2"/>
  <c r="BI32" i="2" s="1"/>
  <c r="BJ39" i="2"/>
  <c r="BJ28" i="2" s="1"/>
  <c r="BI42" i="2"/>
  <c r="BI31" i="2" s="1"/>
  <c r="BI41" i="2"/>
  <c r="BI30" i="2" s="1"/>
  <c r="BI40" i="2"/>
  <c r="BI29" i="2" s="1"/>
  <c r="BI38" i="2"/>
  <c r="BI27" i="2" s="1"/>
  <c r="BJ37" i="2"/>
  <c r="BJ26" i="2" s="1"/>
  <c r="BI36" i="2"/>
  <c r="BI25" i="2" s="1"/>
  <c r="AU8" i="22"/>
  <c r="AT15" i="22"/>
  <c r="AM66" i="2"/>
  <c r="AA57" i="36" s="1"/>
  <c r="AO16" i="22"/>
  <c r="AH39" i="36" s="1"/>
  <c r="AI39" i="37" s="1"/>
  <c r="AO12" i="22"/>
  <c r="AH38" i="36" s="1"/>
  <c r="AH40" i="36" l="1"/>
  <c r="AI40" i="37"/>
  <c r="AH41" i="38" s="1"/>
  <c r="AI38" i="37"/>
  <c r="AH39" i="38" s="1"/>
  <c r="AH40" i="38"/>
  <c r="AN44" i="42"/>
  <c r="AM61" i="36" s="1"/>
  <c r="AN46" i="42"/>
  <c r="AN50" i="37" s="1"/>
  <c r="AN45" i="42"/>
  <c r="AM47" i="38" s="1"/>
  <c r="AM49" i="38" s="1"/>
  <c r="BJ43" i="2"/>
  <c r="BJ32" i="2" s="1"/>
  <c r="BJ40" i="2"/>
  <c r="BJ29" i="2" s="1"/>
  <c r="BK28" i="2"/>
  <c r="BJ38" i="2"/>
  <c r="BJ27" i="2" s="1"/>
  <c r="BJ41" i="2"/>
  <c r="BJ30" i="2" s="1"/>
  <c r="BJ42" i="2"/>
  <c r="BJ31" i="2" s="1"/>
  <c r="BK26" i="2"/>
  <c r="BJ36" i="2"/>
  <c r="BJ25" i="2" s="1"/>
  <c r="AV8" i="22"/>
  <c r="AU15" i="22"/>
  <c r="AN66" i="2"/>
  <c r="AB57" i="36" s="1"/>
  <c r="AP16" i="22"/>
  <c r="AI39" i="36" s="1"/>
  <c r="AJ39" i="37" s="1"/>
  <c r="AP12" i="22"/>
  <c r="AI38" i="36" s="1"/>
  <c r="AI40" i="38" l="1"/>
  <c r="AJ40" i="37"/>
  <c r="AJ38" i="37"/>
  <c r="AI40" i="36"/>
  <c r="AO44" i="42"/>
  <c r="AN61" i="36" s="1"/>
  <c r="AO45" i="42"/>
  <c r="AN47" i="38" s="1"/>
  <c r="AN49" i="38" s="1"/>
  <c r="AO46" i="42"/>
  <c r="AO50" i="37" s="1"/>
  <c r="BK32" i="2"/>
  <c r="BK27" i="2"/>
  <c r="BK31" i="2"/>
  <c r="BK30" i="2"/>
  <c r="BL39" i="2"/>
  <c r="BL28" i="2" s="1"/>
  <c r="BK29" i="2"/>
  <c r="BL37" i="2"/>
  <c r="BL26" i="2" s="1"/>
  <c r="BK25" i="2"/>
  <c r="AW8" i="22"/>
  <c r="AV15" i="22"/>
  <c r="AO66" i="2"/>
  <c r="AC57" i="36" s="1"/>
  <c r="AQ16" i="22"/>
  <c r="AJ39" i="36" s="1"/>
  <c r="AK39" i="37" s="1"/>
  <c r="AJ40" i="38" s="1"/>
  <c r="AQ12" i="22"/>
  <c r="AJ38" i="36" s="1"/>
  <c r="M7" i="43" l="1"/>
  <c r="AI41" i="38"/>
  <c r="AK38" i="37"/>
  <c r="AK40" i="37"/>
  <c r="AJ41" i="38" s="1"/>
  <c r="AI39" i="38"/>
  <c r="AJ40" i="36"/>
  <c r="AP44" i="42"/>
  <c r="AO61" i="36" s="1"/>
  <c r="AP45" i="42"/>
  <c r="AO47" i="38" s="1"/>
  <c r="AO49" i="38" s="1"/>
  <c r="AP46" i="42"/>
  <c r="AP50" i="37" s="1"/>
  <c r="BL43" i="2"/>
  <c r="BL32" i="2" s="1"/>
  <c r="BL40" i="2"/>
  <c r="BL29" i="2" s="1"/>
  <c r="BL42" i="2"/>
  <c r="BL31" i="2" s="1"/>
  <c r="BL41" i="2"/>
  <c r="BL30" i="2" s="1"/>
  <c r="BM39" i="2"/>
  <c r="BM28" i="2" s="1"/>
  <c r="BL38" i="2"/>
  <c r="BL27" i="2" s="1"/>
  <c r="BM37" i="2"/>
  <c r="BM26" i="2" s="1"/>
  <c r="BL36" i="2"/>
  <c r="BL25" i="2" s="1"/>
  <c r="M14" i="43"/>
  <c r="M6" i="43"/>
  <c r="M13" i="43"/>
  <c r="M12" i="43"/>
  <c r="M5" i="43"/>
  <c r="AX8" i="22"/>
  <c r="AW15" i="22"/>
  <c r="AP66" i="2"/>
  <c r="AD57" i="36" s="1"/>
  <c r="AR16" i="22"/>
  <c r="AK39" i="36" s="1"/>
  <c r="AL39" i="37" s="1"/>
  <c r="AK40" i="38" s="1"/>
  <c r="AR12" i="22"/>
  <c r="AK38" i="36" s="1"/>
  <c r="AL38" i="37" l="1"/>
  <c r="AK39" i="38" s="1"/>
  <c r="AL40" i="37"/>
  <c r="AK41" i="38" s="1"/>
  <c r="AJ39" i="38"/>
  <c r="AK40" i="36"/>
  <c r="AQ44" i="42"/>
  <c r="AP61" i="36" s="1"/>
  <c r="AQ45" i="42"/>
  <c r="AP47" i="38" s="1"/>
  <c r="AP49" i="38" s="1"/>
  <c r="AQ46" i="42"/>
  <c r="AQ50" i="37" s="1"/>
  <c r="BM43" i="2"/>
  <c r="BM32" i="2" s="1"/>
  <c r="BN39" i="2"/>
  <c r="BN28" i="2" s="1"/>
  <c r="BM38" i="2"/>
  <c r="BM27" i="2" s="1"/>
  <c r="BM42" i="2"/>
  <c r="BM31" i="2" s="1"/>
  <c r="BM41" i="2"/>
  <c r="BM30" i="2" s="1"/>
  <c r="BM40" i="2"/>
  <c r="BM29" i="2" s="1"/>
  <c r="BN37" i="2"/>
  <c r="BN26" i="2" s="1"/>
  <c r="BM36" i="2"/>
  <c r="BM25" i="2" s="1"/>
  <c r="AY8" i="22"/>
  <c r="AX15" i="22"/>
  <c r="AQ66" i="2"/>
  <c r="AE57" i="36" s="1"/>
  <c r="AS16" i="22"/>
  <c r="AL39" i="36" s="1"/>
  <c r="AM39" i="37" s="1"/>
  <c r="AL40" i="38" s="1"/>
  <c r="J15" i="43"/>
  <c r="AS12" i="22"/>
  <c r="AL38" i="36" s="1"/>
  <c r="AL40" i="36" l="1"/>
  <c r="AM40" i="37"/>
  <c r="AL41" i="38" s="1"/>
  <c r="AM38" i="37"/>
  <c r="AL39" i="38" s="1"/>
  <c r="AR44" i="42"/>
  <c r="AQ61" i="36" s="1"/>
  <c r="AR45" i="42"/>
  <c r="AQ47" i="38" s="1"/>
  <c r="AQ49" i="38" s="1"/>
  <c r="AR46" i="42"/>
  <c r="AR50" i="37" s="1"/>
  <c r="E5" i="45"/>
  <c r="E18" i="45"/>
  <c r="E6" i="45"/>
  <c r="E19" i="45"/>
  <c r="BN43" i="2"/>
  <c r="BN32" i="2" s="1"/>
  <c r="BN40" i="2"/>
  <c r="BN29" i="2" s="1"/>
  <c r="BN38" i="2"/>
  <c r="BN27" i="2" s="1"/>
  <c r="BN41" i="2"/>
  <c r="BN30" i="2" s="1"/>
  <c r="BN42" i="2"/>
  <c r="BN31" i="2" s="1"/>
  <c r="BO39" i="2"/>
  <c r="BO28" i="2" s="1"/>
  <c r="BO37" i="2"/>
  <c r="BO26" i="2" s="1"/>
  <c r="BN36" i="2"/>
  <c r="BN25" i="2" s="1"/>
  <c r="AZ8" i="22"/>
  <c r="AY15" i="22"/>
  <c r="E7" i="22"/>
  <c r="L11" i="43" s="1"/>
  <c r="AR66" i="2"/>
  <c r="AF57" i="36" s="1"/>
  <c r="AT16" i="22"/>
  <c r="AM39" i="36" s="1"/>
  <c r="AN39" i="37" s="1"/>
  <c r="E6" i="22"/>
  <c r="L4" i="43" s="1"/>
  <c r="AT12" i="22"/>
  <c r="AM38" i="36" s="1"/>
  <c r="C20" i="45"/>
  <c r="C7" i="45"/>
  <c r="AM40" i="36" l="1"/>
  <c r="AN40" i="37"/>
  <c r="AM41" i="38" s="1"/>
  <c r="AN38" i="37"/>
  <c r="AM39" i="38" s="1"/>
  <c r="AM40" i="38"/>
  <c r="AS44" i="42"/>
  <c r="AR61" i="36" s="1"/>
  <c r="AS45" i="42"/>
  <c r="AR47" i="38" s="1"/>
  <c r="AR49" i="38" s="1"/>
  <c r="AS46" i="42"/>
  <c r="AS50" i="37" s="1"/>
  <c r="BO43" i="2"/>
  <c r="BO32" i="2" s="1"/>
  <c r="BO41" i="2"/>
  <c r="BO30" i="2" s="1"/>
  <c r="BP39" i="2"/>
  <c r="BP28" i="2" s="1"/>
  <c r="BO42" i="2"/>
  <c r="BO31" i="2" s="1"/>
  <c r="BO38" i="2"/>
  <c r="BO27" i="2" s="1"/>
  <c r="BO40" i="2"/>
  <c r="BO29" i="2" s="1"/>
  <c r="BP37" i="2"/>
  <c r="BP26" i="2" s="1"/>
  <c r="BO36" i="2"/>
  <c r="BO25" i="2" s="1"/>
  <c r="BA8" i="22"/>
  <c r="AZ15" i="22"/>
  <c r="AS66" i="2"/>
  <c r="AG57" i="36" s="1"/>
  <c r="AU16" i="22"/>
  <c r="AN39" i="36" s="1"/>
  <c r="AO39" i="37" s="1"/>
  <c r="AU12" i="22"/>
  <c r="AN38" i="36" s="1"/>
  <c r="AN40" i="36" l="1"/>
  <c r="AO38" i="37"/>
  <c r="AO40" i="37"/>
  <c r="AN41" i="38" s="1"/>
  <c r="AN40" i="38"/>
  <c r="AT44" i="42"/>
  <c r="AS61" i="36" s="1"/>
  <c r="AT45" i="42"/>
  <c r="AS47" i="38" s="1"/>
  <c r="AS49" i="38" s="1"/>
  <c r="AT46" i="42"/>
  <c r="AT50" i="37" s="1"/>
  <c r="BP43" i="2"/>
  <c r="BP32" i="2" s="1"/>
  <c r="BP40" i="2"/>
  <c r="BP29" i="2" s="1"/>
  <c r="BP42" i="2"/>
  <c r="BP31" i="2" s="1"/>
  <c r="BP38" i="2"/>
  <c r="BP27" i="2" s="1"/>
  <c r="BQ39" i="2"/>
  <c r="BQ28" i="2" s="1"/>
  <c r="BP41" i="2"/>
  <c r="BP30" i="2" s="1"/>
  <c r="BQ37" i="2"/>
  <c r="BQ26" i="2" s="1"/>
  <c r="BP36" i="2"/>
  <c r="BP25" i="2" s="1"/>
  <c r="BB8" i="22"/>
  <c r="BA15" i="22"/>
  <c r="AT66" i="2"/>
  <c r="AH57" i="36" s="1"/>
  <c r="AV16" i="22"/>
  <c r="AO39" i="36" s="1"/>
  <c r="AP39" i="37" s="1"/>
  <c r="AV12" i="22"/>
  <c r="AO38" i="36" s="1"/>
  <c r="AO40" i="36" l="1"/>
  <c r="AP38" i="37"/>
  <c r="AP40" i="37"/>
  <c r="AO41" i="38" s="1"/>
  <c r="AN39" i="38"/>
  <c r="AO40" i="38"/>
  <c r="AU44" i="42"/>
  <c r="AT61" i="36" s="1"/>
  <c r="AU45" i="42"/>
  <c r="AT47" i="38" s="1"/>
  <c r="AT49" i="38" s="1"/>
  <c r="AU46" i="42"/>
  <c r="AU50" i="37" s="1"/>
  <c r="BQ43" i="2"/>
  <c r="BQ32" i="2" s="1"/>
  <c r="BQ41" i="2"/>
  <c r="BQ30" i="2" s="1"/>
  <c r="BQ38" i="2"/>
  <c r="BQ27" i="2" s="1"/>
  <c r="BQ40" i="2"/>
  <c r="BQ29" i="2" s="1"/>
  <c r="BR39" i="2"/>
  <c r="BR28" i="2" s="1"/>
  <c r="BQ42" i="2"/>
  <c r="BQ31" i="2" s="1"/>
  <c r="BR37" i="2"/>
  <c r="BR26" i="2" s="1"/>
  <c r="BQ36" i="2"/>
  <c r="BQ25" i="2" s="1"/>
  <c r="BC8" i="22"/>
  <c r="BB15" i="22"/>
  <c r="AU66" i="2"/>
  <c r="AI57" i="36" s="1"/>
  <c r="AW16" i="22"/>
  <c r="AP39" i="36" s="1"/>
  <c r="AQ39" i="37" s="1"/>
  <c r="AW12" i="22"/>
  <c r="AP38" i="36" s="1"/>
  <c r="AP40" i="36" l="1"/>
  <c r="AQ40" i="37"/>
  <c r="AP41" i="38" s="1"/>
  <c r="AQ38" i="37"/>
  <c r="AP39" i="38" s="1"/>
  <c r="AP40" i="38"/>
  <c r="AO39" i="38"/>
  <c r="AV44" i="42"/>
  <c r="AU61" i="36" s="1"/>
  <c r="AV45" i="42"/>
  <c r="AU47" i="38" s="1"/>
  <c r="AU49" i="38" s="1"/>
  <c r="AV46" i="42"/>
  <c r="AV50" i="37" s="1"/>
  <c r="BR43" i="2"/>
  <c r="BR32" i="2" s="1"/>
  <c r="BS39" i="2"/>
  <c r="BS28" i="2" s="1"/>
  <c r="BR38" i="2"/>
  <c r="BR27" i="2" s="1"/>
  <c r="BR42" i="2"/>
  <c r="BR31" i="2" s="1"/>
  <c r="BR40" i="2"/>
  <c r="BR29" i="2" s="1"/>
  <c r="BR41" i="2"/>
  <c r="BR30" i="2" s="1"/>
  <c r="BS37" i="2"/>
  <c r="BS26" i="2" s="1"/>
  <c r="BR36" i="2"/>
  <c r="BR25" i="2" s="1"/>
  <c r="BD8" i="22"/>
  <c r="BC15" i="22"/>
  <c r="AV66" i="2"/>
  <c r="AJ57" i="36" s="1"/>
  <c r="AX16" i="22"/>
  <c r="AQ39" i="36" s="1"/>
  <c r="AR39" i="37" s="1"/>
  <c r="AX12" i="22"/>
  <c r="AQ38" i="36" s="1"/>
  <c r="AQ40" i="38" l="1"/>
  <c r="AQ40" i="36"/>
  <c r="AR40" i="37"/>
  <c r="AR38" i="37"/>
  <c r="AQ39" i="38" s="1"/>
  <c r="AW44" i="42"/>
  <c r="AV61" i="36" s="1"/>
  <c r="AW45" i="42"/>
  <c r="AV47" i="38" s="1"/>
  <c r="AV49" i="38" s="1"/>
  <c r="AW46" i="42"/>
  <c r="AW50" i="37" s="1"/>
  <c r="BS43" i="2"/>
  <c r="BS32" i="2" s="1"/>
  <c r="BS41" i="2"/>
  <c r="BS30" i="2" s="1"/>
  <c r="BS42" i="2"/>
  <c r="BS31" i="2" s="1"/>
  <c r="BT39" i="2"/>
  <c r="BT28" i="2" s="1"/>
  <c r="BS40" i="2"/>
  <c r="BS29" i="2" s="1"/>
  <c r="BS38" i="2"/>
  <c r="BS27" i="2" s="1"/>
  <c r="BT37" i="2"/>
  <c r="BT26" i="2" s="1"/>
  <c r="BS36" i="2"/>
  <c r="BS25" i="2" s="1"/>
  <c r="BE8" i="22"/>
  <c r="BD15" i="22"/>
  <c r="AW66" i="2"/>
  <c r="AK57" i="36" s="1"/>
  <c r="AY16" i="22"/>
  <c r="AR39" i="36" s="1"/>
  <c r="AS39" i="37" s="1"/>
  <c r="AY12" i="22"/>
  <c r="AR38" i="36" s="1"/>
  <c r="AQ41" i="38" l="1"/>
  <c r="AR40" i="36"/>
  <c r="AS38" i="37"/>
  <c r="AS40" i="37"/>
  <c r="AR40" i="38"/>
  <c r="AX44" i="42"/>
  <c r="AW61" i="36" s="1"/>
  <c r="AX45" i="42"/>
  <c r="AW47" i="38" s="1"/>
  <c r="AW49" i="38" s="1"/>
  <c r="AX46" i="42"/>
  <c r="AX50" i="37" s="1"/>
  <c r="BT43" i="2"/>
  <c r="BT32" i="2" s="1"/>
  <c r="BT40" i="2"/>
  <c r="BT29" i="2" s="1"/>
  <c r="BT42" i="2"/>
  <c r="BT31" i="2" s="1"/>
  <c r="BT38" i="2"/>
  <c r="BT27" i="2" s="1"/>
  <c r="BU39" i="2"/>
  <c r="BU28" i="2" s="1"/>
  <c r="BT41" i="2"/>
  <c r="BT30" i="2" s="1"/>
  <c r="BU37" i="2"/>
  <c r="BU26" i="2" s="1"/>
  <c r="BT36" i="2"/>
  <c r="BT25" i="2" s="1"/>
  <c r="BF8" i="22"/>
  <c r="BE15" i="22"/>
  <c r="AX66" i="2"/>
  <c r="AL57" i="36" s="1"/>
  <c r="AZ16" i="22"/>
  <c r="AS39" i="36" s="1"/>
  <c r="AT39" i="37" s="1"/>
  <c r="AZ12" i="22"/>
  <c r="AS38" i="36" s="1"/>
  <c r="AS40" i="36" l="1"/>
  <c r="AT38" i="37"/>
  <c r="AS39" i="38" s="1"/>
  <c r="AT40" i="37"/>
  <c r="AS41" i="38" s="1"/>
  <c r="AR41" i="38"/>
  <c r="AR39" i="38"/>
  <c r="AS40" i="38"/>
  <c r="AY46" i="42"/>
  <c r="AY50" i="37" s="1"/>
  <c r="AY44" i="42"/>
  <c r="AX61" i="36" s="1"/>
  <c r="AY45" i="42"/>
  <c r="AX47" i="38" s="1"/>
  <c r="AX49" i="38" s="1"/>
  <c r="BU43" i="2"/>
  <c r="BU32" i="2" s="1"/>
  <c r="BU41" i="2"/>
  <c r="BU30" i="2" s="1"/>
  <c r="BU38" i="2"/>
  <c r="BU27" i="2" s="1"/>
  <c r="BU40" i="2"/>
  <c r="BU29" i="2" s="1"/>
  <c r="BV39" i="2"/>
  <c r="BV28" i="2" s="1"/>
  <c r="BU42" i="2"/>
  <c r="BU31" i="2" s="1"/>
  <c r="BV37" i="2"/>
  <c r="BV26" i="2" s="1"/>
  <c r="BU36" i="2"/>
  <c r="BU25" i="2" s="1"/>
  <c r="BG8" i="22"/>
  <c r="BF15" i="22"/>
  <c r="AY66" i="2"/>
  <c r="AM57" i="36" s="1"/>
  <c r="BA16" i="22"/>
  <c r="AT39" i="36" s="1"/>
  <c r="AU39" i="37" s="1"/>
  <c r="BA12" i="22"/>
  <c r="AT38" i="36" s="1"/>
  <c r="AU40" i="37" l="1"/>
  <c r="AT41" i="38" s="1"/>
  <c r="AU38" i="37"/>
  <c r="AT39" i="38" s="1"/>
  <c r="AT40" i="38"/>
  <c r="AT40" i="36"/>
  <c r="AZ46" i="42"/>
  <c r="AZ50" i="37" s="1"/>
  <c r="AZ44" i="42"/>
  <c r="AY61" i="36" s="1"/>
  <c r="AZ45" i="42"/>
  <c r="AY47" i="38" s="1"/>
  <c r="AY49" i="38" s="1"/>
  <c r="BV43" i="2"/>
  <c r="BV32" i="2" s="1"/>
  <c r="BV38" i="2"/>
  <c r="BV27" i="2" s="1"/>
  <c r="BV42" i="2"/>
  <c r="BV31" i="2" s="1"/>
  <c r="BV40" i="2"/>
  <c r="BV29" i="2" s="1"/>
  <c r="BV41" i="2"/>
  <c r="BV30" i="2" s="1"/>
  <c r="BV36" i="2"/>
  <c r="BV25" i="2" s="1"/>
  <c r="BH8" i="22"/>
  <c r="BG15" i="22"/>
  <c r="AZ66" i="2"/>
  <c r="AN57" i="36" s="1"/>
  <c r="BB16" i="22"/>
  <c r="AU39" i="36" s="1"/>
  <c r="AV39" i="37" s="1"/>
  <c r="BB12" i="22"/>
  <c r="AU38" i="36" s="1"/>
  <c r="AU40" i="36" l="1"/>
  <c r="AV40" i="37"/>
  <c r="AU41" i="38" s="1"/>
  <c r="AV38" i="37"/>
  <c r="AU39" i="38" s="1"/>
  <c r="AU40" i="38"/>
  <c r="BA45" i="42"/>
  <c r="AZ47" i="38" s="1"/>
  <c r="AZ49" i="38" s="1"/>
  <c r="BA46" i="42"/>
  <c r="BA50" i="37" s="1"/>
  <c r="BA44" i="42"/>
  <c r="AZ61" i="36" s="1"/>
  <c r="N13" i="43"/>
  <c r="O13" i="43" s="1"/>
  <c r="BI8" i="22"/>
  <c r="BH15" i="22"/>
  <c r="BA66" i="2"/>
  <c r="AO57" i="36" s="1"/>
  <c r="BC16" i="22"/>
  <c r="AV39" i="36" s="1"/>
  <c r="AW39" i="37" s="1"/>
  <c r="AV40" i="38" s="1"/>
  <c r="BC12" i="22"/>
  <c r="AV38" i="36" s="1"/>
  <c r="N14" i="43" l="1"/>
  <c r="O14" i="43" s="1"/>
  <c r="N12" i="43"/>
  <c r="O12" i="43" s="1"/>
  <c r="AV40" i="36"/>
  <c r="AW38" i="37"/>
  <c r="AV39" i="38" s="1"/>
  <c r="AW40" i="37"/>
  <c r="AV41" i="38" s="1"/>
  <c r="BB44" i="42"/>
  <c r="BA61" i="36" s="1"/>
  <c r="BB45" i="42"/>
  <c r="BA47" i="38" s="1"/>
  <c r="BA49" i="38" s="1"/>
  <c r="BB46" i="42"/>
  <c r="BB50" i="37" s="1"/>
  <c r="N5" i="43"/>
  <c r="O5" i="43" s="1"/>
  <c r="N7" i="43"/>
  <c r="O7" i="43" s="1"/>
  <c r="N6" i="43"/>
  <c r="O6" i="43" s="1"/>
  <c r="BJ8" i="22"/>
  <c r="BI15" i="22"/>
  <c r="BB66" i="2"/>
  <c r="AP57" i="36" s="1"/>
  <c r="BD16" i="22"/>
  <c r="AW39" i="36" s="1"/>
  <c r="AX39" i="37" s="1"/>
  <c r="BD12" i="22"/>
  <c r="AW38" i="36" s="1"/>
  <c r="AW40" i="36" l="1"/>
  <c r="AX38" i="37"/>
  <c r="AX40" i="37"/>
  <c r="AW41" i="38" s="1"/>
  <c r="AW40" i="38"/>
  <c r="BC44" i="42"/>
  <c r="BB61" i="36" s="1"/>
  <c r="BC45" i="42"/>
  <c r="BB47" i="38" s="1"/>
  <c r="BB49" i="38" s="1"/>
  <c r="BC46" i="42"/>
  <c r="BC50" i="37" s="1"/>
  <c r="BK8" i="22"/>
  <c r="BJ15" i="22"/>
  <c r="BC66" i="2"/>
  <c r="AQ57" i="36" s="1"/>
  <c r="BE16" i="22"/>
  <c r="AX39" i="36" s="1"/>
  <c r="AY39" i="37" s="1"/>
  <c r="BE12" i="22"/>
  <c r="AX38" i="36" s="1"/>
  <c r="AW39" i="38" l="1"/>
  <c r="AX40" i="36"/>
  <c r="AY40" i="37"/>
  <c r="AY38" i="37"/>
  <c r="AX40" i="38"/>
  <c r="BD44" i="42"/>
  <c r="BC61" i="36" s="1"/>
  <c r="BD45" i="42"/>
  <c r="BC47" i="38" s="1"/>
  <c r="BC49" i="38" s="1"/>
  <c r="BD46" i="42"/>
  <c r="BD50" i="37" s="1"/>
  <c r="F19" i="45"/>
  <c r="F6" i="45"/>
  <c r="F5" i="45"/>
  <c r="F18" i="45"/>
  <c r="BL8" i="22"/>
  <c r="BK15" i="22"/>
  <c r="F7" i="22"/>
  <c r="M11" i="43" s="1"/>
  <c r="BD66" i="2"/>
  <c r="AR57" i="36" s="1"/>
  <c r="BF16" i="22"/>
  <c r="AY39" i="36" s="1"/>
  <c r="AZ39" i="37" s="1"/>
  <c r="AY40" i="38" s="1"/>
  <c r="K8" i="43"/>
  <c r="K15" i="43"/>
  <c r="F6" i="22"/>
  <c r="M4" i="43" s="1"/>
  <c r="BF12" i="22"/>
  <c r="AY38" i="36" s="1"/>
  <c r="D20" i="45"/>
  <c r="D7" i="45"/>
  <c r="AY40" i="36" l="1"/>
  <c r="AZ40" i="37"/>
  <c r="AY41" i="38" s="1"/>
  <c r="AZ38" i="37"/>
  <c r="AY39" i="38" s="1"/>
  <c r="AX39" i="38"/>
  <c r="AX41" i="38"/>
  <c r="BE44" i="42"/>
  <c r="BD61" i="36" s="1"/>
  <c r="BE45" i="42"/>
  <c r="BD47" i="38" s="1"/>
  <c r="BD49" i="38" s="1"/>
  <c r="BE46" i="42"/>
  <c r="BE50" i="37" s="1"/>
  <c r="BM8" i="22"/>
  <c r="BL15" i="22"/>
  <c r="BE66" i="2"/>
  <c r="AS57" i="36" s="1"/>
  <c r="BG16" i="22"/>
  <c r="AZ39" i="36" s="1"/>
  <c r="BA39" i="37" s="1"/>
  <c r="BG12" i="22"/>
  <c r="AZ38" i="36" s="1"/>
  <c r="AZ40" i="36" l="1"/>
  <c r="BA38" i="37"/>
  <c r="AZ39" i="38" s="1"/>
  <c r="BA40" i="37"/>
  <c r="AZ41" i="38" s="1"/>
  <c r="AZ40" i="38"/>
  <c r="BF44" i="42"/>
  <c r="BE61" i="36" s="1"/>
  <c r="BF45" i="42"/>
  <c r="BE47" i="38" s="1"/>
  <c r="BE49" i="38" s="1"/>
  <c r="BF46" i="42"/>
  <c r="BF50" i="37" s="1"/>
  <c r="BN8" i="22"/>
  <c r="BM15" i="22"/>
  <c r="BF66" i="2"/>
  <c r="AT57" i="36" s="1"/>
  <c r="BH16" i="22"/>
  <c r="BA39" i="36" s="1"/>
  <c r="BB39" i="37" s="1"/>
  <c r="BH12" i="22"/>
  <c r="BA38" i="36" s="1"/>
  <c r="BA40" i="36" l="1"/>
  <c r="BB38" i="37"/>
  <c r="BA39" i="38" s="1"/>
  <c r="BB40" i="37"/>
  <c r="BA41" i="38" s="1"/>
  <c r="BA40" i="38"/>
  <c r="BG44" i="42"/>
  <c r="BF61" i="36" s="1"/>
  <c r="BG46" i="42"/>
  <c r="BG50" i="37" s="1"/>
  <c r="BG45" i="42"/>
  <c r="BF47" i="38" s="1"/>
  <c r="BF49" i="38" s="1"/>
  <c r="BO8" i="22"/>
  <c r="BN15" i="22"/>
  <c r="BG66" i="2"/>
  <c r="AU57" i="36" s="1"/>
  <c r="BI16" i="22"/>
  <c r="BB39" i="36" s="1"/>
  <c r="BC39" i="37" s="1"/>
  <c r="BB40" i="38" s="1"/>
  <c r="BI12" i="22"/>
  <c r="BB38" i="36" s="1"/>
  <c r="BC40" i="37" l="1"/>
  <c r="BC38" i="37"/>
  <c r="BB39" i="38" s="1"/>
  <c r="BB40" i="36"/>
  <c r="BH45" i="42"/>
  <c r="BG47" i="38" s="1"/>
  <c r="BG49" i="38" s="1"/>
  <c r="BH46" i="42"/>
  <c r="BH50" i="37" s="1"/>
  <c r="BH44" i="42"/>
  <c r="BG61" i="36" s="1"/>
  <c r="BP8" i="22"/>
  <c r="BO15" i="22"/>
  <c r="BH66" i="2"/>
  <c r="AV57" i="36" s="1"/>
  <c r="BJ16" i="22"/>
  <c r="BC39" i="36" s="1"/>
  <c r="BD39" i="37" s="1"/>
  <c r="BC40" i="38" s="1"/>
  <c r="BJ12" i="22"/>
  <c r="BC38" i="36" s="1"/>
  <c r="BD40" i="37" l="1"/>
  <c r="BC41" i="38" s="1"/>
  <c r="BD38" i="37"/>
  <c r="BC39" i="38" s="1"/>
  <c r="BB41" i="38"/>
  <c r="BC40" i="36"/>
  <c r="BI45" i="42"/>
  <c r="BH47" i="38" s="1"/>
  <c r="BH49" i="38" s="1"/>
  <c r="BI44" i="42"/>
  <c r="BH61" i="36" s="1"/>
  <c r="BI46" i="42"/>
  <c r="BI50" i="37" s="1"/>
  <c r="BQ8" i="22"/>
  <c r="BP15" i="22"/>
  <c r="BI66" i="2"/>
  <c r="AW57" i="36" s="1"/>
  <c r="BK16" i="22"/>
  <c r="BD39" i="36" s="1"/>
  <c r="BE39" i="37" s="1"/>
  <c r="BD40" i="38" s="1"/>
  <c r="BK12" i="22"/>
  <c r="BD38" i="36" s="1"/>
  <c r="BD40" i="36" l="1"/>
  <c r="BE38" i="37"/>
  <c r="BD39" i="38" s="1"/>
  <c r="BE40" i="37"/>
  <c r="BJ45" i="42"/>
  <c r="BI47" i="38" s="1"/>
  <c r="BI49" i="38" s="1"/>
  <c r="BJ46" i="42"/>
  <c r="BJ50" i="37" s="1"/>
  <c r="BJ44" i="42"/>
  <c r="BI61" i="36" s="1"/>
  <c r="BQ15" i="22"/>
  <c r="BJ66" i="2"/>
  <c r="AX57" i="36" s="1"/>
  <c r="BL16" i="22"/>
  <c r="BE39" i="36" s="1"/>
  <c r="BF39" i="37" s="1"/>
  <c r="BL12" i="22"/>
  <c r="BE38" i="36" s="1"/>
  <c r="BD41" i="38" l="1"/>
  <c r="BE40" i="38"/>
  <c r="BF38" i="37"/>
  <c r="BF40" i="37"/>
  <c r="BE41" i="38" s="1"/>
  <c r="BE40" i="36"/>
  <c r="BK44" i="42"/>
  <c r="BJ61" i="36" s="1"/>
  <c r="BK45" i="42"/>
  <c r="BJ47" i="38" s="1"/>
  <c r="BJ49" i="38" s="1"/>
  <c r="BK46" i="42"/>
  <c r="BK50" i="37" s="1"/>
  <c r="BK66" i="2"/>
  <c r="AY57" i="36" s="1"/>
  <c r="BM16" i="22"/>
  <c r="BF39" i="36" s="1"/>
  <c r="BG39" i="37" s="1"/>
  <c r="BM12" i="22"/>
  <c r="BF38" i="36" s="1"/>
  <c r="BG40" i="37" l="1"/>
  <c r="BF41" i="38" s="1"/>
  <c r="BG38" i="37"/>
  <c r="BF39" i="38" s="1"/>
  <c r="BF40" i="38"/>
  <c r="BE39" i="38"/>
  <c r="BF40" i="36"/>
  <c r="BL66" i="2"/>
  <c r="AZ57" i="36" s="1"/>
  <c r="BN16" i="22"/>
  <c r="BG39" i="36" s="1"/>
  <c r="BH39" i="37" s="1"/>
  <c r="BN12" i="22"/>
  <c r="BG38" i="36" s="1"/>
  <c r="BH40" i="37" l="1"/>
  <c r="BG41" i="38" s="1"/>
  <c r="BH38" i="37"/>
  <c r="BG39" i="38" s="1"/>
  <c r="BG40" i="38"/>
  <c r="BG40" i="36"/>
  <c r="BM66" i="2"/>
  <c r="BA57" i="36" s="1"/>
  <c r="BO16" i="22"/>
  <c r="BH39" i="36" s="1"/>
  <c r="BI39" i="37" s="1"/>
  <c r="BO12" i="22"/>
  <c r="BH38" i="36" s="1"/>
  <c r="BH40" i="38" l="1"/>
  <c r="BH40" i="36"/>
  <c r="BI38" i="37"/>
  <c r="BI40" i="37"/>
  <c r="BN66" i="2"/>
  <c r="BB57" i="36" s="1"/>
  <c r="BQ16" i="22"/>
  <c r="BJ39" i="36" s="1"/>
  <c r="BK39" i="37" s="1"/>
  <c r="BP16" i="22"/>
  <c r="BI39" i="36" s="1"/>
  <c r="BJ39" i="37" s="1"/>
  <c r="BP12" i="22"/>
  <c r="BI38" i="36" s="1"/>
  <c r="BJ40" i="38" l="1"/>
  <c r="BJ38" i="37"/>
  <c r="BJ40" i="37"/>
  <c r="BI41" i="38" s="1"/>
  <c r="BH41" i="38"/>
  <c r="BH39" i="38"/>
  <c r="BI40" i="38"/>
  <c r="BI40" i="36"/>
  <c r="G19" i="45"/>
  <c r="G6" i="45"/>
  <c r="G7" i="22"/>
  <c r="BO66" i="2"/>
  <c r="BC57" i="36" s="1"/>
  <c r="BQ12" i="22"/>
  <c r="BJ38" i="36" s="1"/>
  <c r="BI39" i="38" l="1"/>
  <c r="BJ40" i="36"/>
  <c r="BK40" i="37"/>
  <c r="BJ41" i="38" s="1"/>
  <c r="BK38" i="37"/>
  <c r="BJ39" i="38" s="1"/>
  <c r="G5" i="45"/>
  <c r="G18" i="45"/>
  <c r="G6" i="22"/>
  <c r="N4" i="43" s="1"/>
  <c r="O4" i="43" s="1"/>
  <c r="N11" i="43"/>
  <c r="O11" i="43" s="1"/>
  <c r="BP66" i="2"/>
  <c r="BD57" i="36" s="1"/>
  <c r="L15" i="43"/>
  <c r="L8" i="43"/>
  <c r="E20" i="45"/>
  <c r="E7" i="45"/>
  <c r="BQ66" i="2" l="1"/>
  <c r="BE57" i="36" s="1"/>
  <c r="BR66" i="2" l="1"/>
  <c r="BF57" i="36" s="1"/>
  <c r="BS66" i="2" l="1"/>
  <c r="BG57" i="36" s="1"/>
  <c r="BT66" i="2" l="1"/>
  <c r="BH57" i="36" s="1"/>
  <c r="BV66" i="2" l="1"/>
  <c r="BJ57" i="36" s="1"/>
  <c r="BU66" i="2"/>
  <c r="BI57" i="36" s="1"/>
  <c r="M15" i="43" l="1"/>
  <c r="M8" i="43"/>
  <c r="F20" i="45"/>
  <c r="F7" i="45"/>
  <c r="O4" i="2" l="1"/>
  <c r="P4" i="2"/>
  <c r="Q4" i="2"/>
  <c r="R4" i="2"/>
  <c r="S4" i="2"/>
  <c r="T4" i="2"/>
  <c r="U4" i="2"/>
  <c r="V4" i="2"/>
  <c r="W4" i="2"/>
  <c r="X4" i="2"/>
  <c r="Y4" i="2"/>
  <c r="Z4" i="2"/>
  <c r="G7" i="45" l="1"/>
  <c r="G20" i="45"/>
  <c r="N15" i="43"/>
  <c r="O15" i="43" s="1"/>
  <c r="N8" i="43"/>
  <c r="O8" i="43" s="1"/>
  <c r="BV59" i="2" l="1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P46" i="2" l="1"/>
  <c r="P50" i="2"/>
  <c r="P49" i="2"/>
  <c r="P53" i="2"/>
  <c r="P48" i="2"/>
  <c r="P52" i="2"/>
  <c r="P47" i="2"/>
  <c r="P51" i="2"/>
  <c r="P54" i="2" l="1"/>
  <c r="D56" i="36" s="1"/>
  <c r="Q47" i="2"/>
  <c r="Q51" i="2"/>
  <c r="Q46" i="2"/>
  <c r="Q50" i="2"/>
  <c r="Q49" i="2"/>
  <c r="Q53" i="2"/>
  <c r="Q48" i="2"/>
  <c r="Q52" i="2"/>
  <c r="Q54" i="2" l="1"/>
  <c r="E56" i="36" s="1"/>
  <c r="R48" i="2"/>
  <c r="R52" i="2"/>
  <c r="R47" i="2"/>
  <c r="R51" i="2"/>
  <c r="R46" i="2"/>
  <c r="R50" i="2"/>
  <c r="R53" i="2"/>
  <c r="R49" i="2"/>
  <c r="R54" i="2" l="1"/>
  <c r="F56" i="36" s="1"/>
  <c r="S49" i="2"/>
  <c r="S53" i="2"/>
  <c r="S48" i="2"/>
  <c r="S52" i="2"/>
  <c r="S47" i="2"/>
  <c r="S51" i="2"/>
  <c r="S46" i="2"/>
  <c r="S50" i="2"/>
  <c r="S54" i="2" l="1"/>
  <c r="G56" i="36" s="1"/>
  <c r="T46" i="2"/>
  <c r="T50" i="2"/>
  <c r="T49" i="2"/>
  <c r="T53" i="2"/>
  <c r="T48" i="2"/>
  <c r="T52" i="2"/>
  <c r="T47" i="2"/>
  <c r="T51" i="2"/>
  <c r="T54" i="2" l="1"/>
  <c r="H56" i="36" s="1"/>
  <c r="U47" i="2"/>
  <c r="U51" i="2"/>
  <c r="U46" i="2"/>
  <c r="U50" i="2"/>
  <c r="U49" i="2"/>
  <c r="U53" i="2"/>
  <c r="U48" i="2"/>
  <c r="U52" i="2"/>
  <c r="U54" i="2" l="1"/>
  <c r="I56" i="36" s="1"/>
  <c r="W49" i="2"/>
  <c r="W53" i="2"/>
  <c r="W48" i="2"/>
  <c r="W52" i="2"/>
  <c r="W47" i="2"/>
  <c r="W51" i="2"/>
  <c r="W46" i="2"/>
  <c r="W50" i="2"/>
  <c r="V48" i="2"/>
  <c r="V52" i="2"/>
  <c r="V47" i="2"/>
  <c r="V51" i="2"/>
  <c r="V46" i="2"/>
  <c r="V50" i="2"/>
  <c r="V49" i="2"/>
  <c r="V53" i="2"/>
  <c r="W54" i="2" l="1"/>
  <c r="K56" i="36" s="1"/>
  <c r="V54" i="2"/>
  <c r="J56" i="36" s="1"/>
  <c r="X46" i="2"/>
  <c r="X50" i="2"/>
  <c r="X49" i="2"/>
  <c r="X53" i="2"/>
  <c r="X48" i="2"/>
  <c r="X52" i="2"/>
  <c r="X47" i="2"/>
  <c r="X51" i="2"/>
  <c r="X54" i="2" l="1"/>
  <c r="L56" i="36" s="1"/>
  <c r="Y47" i="2"/>
  <c r="Y51" i="2"/>
  <c r="Y46" i="2"/>
  <c r="Y50" i="2"/>
  <c r="Y49" i="2"/>
  <c r="Y53" i="2"/>
  <c r="Y48" i="2"/>
  <c r="Y52" i="2"/>
  <c r="Y54" i="2" l="1"/>
  <c r="M56" i="36" s="1"/>
  <c r="Z48" i="2"/>
  <c r="Z52" i="2"/>
  <c r="Z47" i="2"/>
  <c r="Z51" i="2"/>
  <c r="Z53" i="2"/>
  <c r="Z46" i="2"/>
  <c r="Z50" i="2"/>
  <c r="Z49" i="2"/>
  <c r="Z54" i="2" l="1"/>
  <c r="N56" i="36" s="1"/>
  <c r="AA49" i="2"/>
  <c r="AA53" i="2"/>
  <c r="AA48" i="2"/>
  <c r="AA52" i="2"/>
  <c r="AA47" i="2"/>
  <c r="AA51" i="2"/>
  <c r="AA46" i="2"/>
  <c r="AA50" i="2"/>
  <c r="AA54" i="2" l="1"/>
  <c r="O56" i="36" s="1"/>
  <c r="AB46" i="2"/>
  <c r="AB50" i="2"/>
  <c r="AB49" i="2"/>
  <c r="AB53" i="2"/>
  <c r="AB48" i="2"/>
  <c r="AB52" i="2"/>
  <c r="AB47" i="2"/>
  <c r="AB51" i="2"/>
  <c r="C24" i="2"/>
  <c r="AB54" i="2" l="1"/>
  <c r="P56" i="36" s="1"/>
  <c r="AC47" i="2"/>
  <c r="AC51" i="2"/>
  <c r="AC46" i="2"/>
  <c r="AC50" i="2"/>
  <c r="AC49" i="2"/>
  <c r="AC53" i="2"/>
  <c r="AC48" i="2"/>
  <c r="AC52" i="2"/>
  <c r="AC54" i="2" l="1"/>
  <c r="Q56" i="36" s="1"/>
  <c r="AD48" i="2"/>
  <c r="AD52" i="2"/>
  <c r="AD47" i="2"/>
  <c r="AD51" i="2"/>
  <c r="AD46" i="2"/>
  <c r="AD50" i="2"/>
  <c r="AD53" i="2"/>
  <c r="AD49" i="2"/>
  <c r="AD54" i="2" l="1"/>
  <c r="R56" i="36" s="1"/>
  <c r="AE49" i="2"/>
  <c r="AE53" i="2"/>
  <c r="AE48" i="2"/>
  <c r="AE52" i="2"/>
  <c r="AE47" i="2"/>
  <c r="AE51" i="2"/>
  <c r="AE46" i="2"/>
  <c r="AE50" i="2"/>
  <c r="AE54" i="2" l="1"/>
  <c r="S56" i="36" s="1"/>
  <c r="AF46" i="2"/>
  <c r="AF50" i="2"/>
  <c r="AF49" i="2"/>
  <c r="AF53" i="2"/>
  <c r="AF48" i="2"/>
  <c r="AF52" i="2"/>
  <c r="AF47" i="2"/>
  <c r="AF51" i="2"/>
  <c r="AF54" i="2" l="1"/>
  <c r="T56" i="36" s="1"/>
  <c r="AG47" i="2"/>
  <c r="AG51" i="2"/>
  <c r="AG46" i="2"/>
  <c r="AG50" i="2"/>
  <c r="AG49" i="2"/>
  <c r="AG53" i="2"/>
  <c r="AG48" i="2"/>
  <c r="AG52" i="2"/>
  <c r="AG54" i="2" l="1"/>
  <c r="U56" i="36" s="1"/>
  <c r="AH48" i="2"/>
  <c r="AH52" i="2"/>
  <c r="AH47" i="2"/>
  <c r="AH51" i="2"/>
  <c r="AH46" i="2"/>
  <c r="AH50" i="2"/>
  <c r="AH49" i="2"/>
  <c r="AH53" i="2"/>
  <c r="AH54" i="2" l="1"/>
  <c r="V56" i="36" s="1"/>
  <c r="AI49" i="2"/>
  <c r="AI53" i="2"/>
  <c r="AI48" i="2"/>
  <c r="AI52" i="2"/>
  <c r="AI47" i="2"/>
  <c r="AI51" i="2"/>
  <c r="AI46" i="2"/>
  <c r="AI50" i="2"/>
  <c r="AI54" i="2" l="1"/>
  <c r="W56" i="36" s="1"/>
  <c r="AJ46" i="2"/>
  <c r="AJ50" i="2"/>
  <c r="AJ49" i="2"/>
  <c r="AJ53" i="2"/>
  <c r="AJ48" i="2"/>
  <c r="AJ52" i="2"/>
  <c r="AJ47" i="2"/>
  <c r="AJ51" i="2"/>
  <c r="AJ54" i="2" l="1"/>
  <c r="X56" i="36" s="1"/>
  <c r="AK47" i="2"/>
  <c r="AK51" i="2"/>
  <c r="AK46" i="2"/>
  <c r="AK50" i="2"/>
  <c r="AK52" i="2"/>
  <c r="AK49" i="2"/>
  <c r="AK53" i="2"/>
  <c r="AK48" i="2"/>
  <c r="AK54" i="2" l="1"/>
  <c r="Y56" i="36" s="1"/>
  <c r="AL48" i="2"/>
  <c r="AL52" i="2"/>
  <c r="AL47" i="2"/>
  <c r="AL51" i="2"/>
  <c r="AL53" i="2"/>
  <c r="AL46" i="2"/>
  <c r="AL50" i="2"/>
  <c r="AL49" i="2"/>
  <c r="AL54" i="2" l="1"/>
  <c r="Z56" i="36" s="1"/>
  <c r="AM47" i="2"/>
  <c r="AM49" i="2"/>
  <c r="AM46" i="2"/>
  <c r="AM51" i="2"/>
  <c r="AM52" i="2"/>
  <c r="AM50" i="2"/>
  <c r="AM48" i="2"/>
  <c r="AM53" i="2"/>
  <c r="AM54" i="2" l="1"/>
  <c r="AA56" i="36" s="1"/>
  <c r="AN51" i="2"/>
  <c r="AN49" i="2"/>
  <c r="AN47" i="2"/>
  <c r="AN48" i="2"/>
  <c r="AN46" i="2"/>
  <c r="AN53" i="2"/>
  <c r="AN52" i="2"/>
  <c r="AN50" i="2"/>
  <c r="AN54" i="2" l="1"/>
  <c r="AB56" i="36" s="1"/>
  <c r="AO48" i="2"/>
  <c r="AO46" i="2"/>
  <c r="AO52" i="2"/>
  <c r="AO50" i="2"/>
  <c r="AO49" i="2"/>
  <c r="AO47" i="2"/>
  <c r="AO53" i="2"/>
  <c r="AO51" i="2"/>
  <c r="D24" i="2"/>
  <c r="AO54" i="2" l="1"/>
  <c r="AC56" i="36" s="1"/>
  <c r="AP49" i="2"/>
  <c r="AP47" i="2"/>
  <c r="AP53" i="2"/>
  <c r="AP51" i="2"/>
  <c r="AP46" i="2"/>
  <c r="AP48" i="2"/>
  <c r="AP50" i="2"/>
  <c r="AP52" i="2"/>
  <c r="AP54" i="2" l="1"/>
  <c r="AD56" i="36" s="1"/>
  <c r="AQ46" i="2"/>
  <c r="AQ50" i="2"/>
  <c r="AQ52" i="2"/>
  <c r="AQ47" i="2"/>
  <c r="AQ49" i="2"/>
  <c r="AQ48" i="2"/>
  <c r="AQ51" i="2"/>
  <c r="AQ53" i="2"/>
  <c r="AQ54" i="2" l="1"/>
  <c r="AE56" i="36" s="1"/>
  <c r="AR47" i="2"/>
  <c r="AR49" i="2"/>
  <c r="AR51" i="2"/>
  <c r="AR53" i="2"/>
  <c r="AR48" i="2"/>
  <c r="AR46" i="2"/>
  <c r="AR50" i="2"/>
  <c r="AR52" i="2"/>
  <c r="AR54" i="2" l="1"/>
  <c r="AF56" i="36" s="1"/>
  <c r="AS48" i="2"/>
  <c r="AS46" i="2"/>
  <c r="AS52" i="2"/>
  <c r="AS49" i="2"/>
  <c r="AS47" i="2"/>
  <c r="AS53" i="2"/>
  <c r="AS51" i="2"/>
  <c r="AS50" i="2"/>
  <c r="AS54" i="2" l="1"/>
  <c r="AG56" i="36" s="1"/>
  <c r="AT49" i="2"/>
  <c r="AT47" i="2"/>
  <c r="AT53" i="2"/>
  <c r="AT51" i="2"/>
  <c r="AT46" i="2"/>
  <c r="AT48" i="2"/>
  <c r="AT50" i="2"/>
  <c r="AT52" i="2"/>
  <c r="AT54" i="2" l="1"/>
  <c r="AH56" i="36" s="1"/>
  <c r="AU46" i="2"/>
  <c r="AU48" i="2"/>
  <c r="AU51" i="2"/>
  <c r="AU50" i="2"/>
  <c r="AU52" i="2"/>
  <c r="AU47" i="2"/>
  <c r="AU53" i="2"/>
  <c r="AU49" i="2"/>
  <c r="AU54" i="2" l="1"/>
  <c r="AI56" i="36" s="1"/>
  <c r="AV47" i="2"/>
  <c r="AV49" i="2"/>
  <c r="AV50" i="2"/>
  <c r="AV51" i="2"/>
  <c r="AV53" i="2"/>
  <c r="AV48" i="2"/>
  <c r="AV46" i="2"/>
  <c r="AV52" i="2"/>
  <c r="AV54" i="2" l="1"/>
  <c r="AJ56" i="36" s="1"/>
  <c r="AW48" i="2"/>
  <c r="AW46" i="2"/>
  <c r="AW52" i="2"/>
  <c r="AW50" i="2"/>
  <c r="AW47" i="2"/>
  <c r="AW51" i="2"/>
  <c r="AW49" i="2"/>
  <c r="AW53" i="2"/>
  <c r="AW54" i="2" l="1"/>
  <c r="AK56" i="36" s="1"/>
  <c r="AX49" i="2"/>
  <c r="AX51" i="2"/>
  <c r="AX53" i="2"/>
  <c r="AX47" i="2"/>
  <c r="AX46" i="2"/>
  <c r="AX48" i="2"/>
  <c r="AX50" i="2"/>
  <c r="AX52" i="2"/>
  <c r="AX54" i="2" l="1"/>
  <c r="AL56" i="36" s="1"/>
  <c r="AY53" i="2"/>
  <c r="AY51" i="2"/>
  <c r="AY50" i="2"/>
  <c r="AY46" i="2"/>
  <c r="AY52" i="2"/>
  <c r="AY49" i="2"/>
  <c r="AY47" i="2"/>
  <c r="AY48" i="2"/>
  <c r="AY54" i="2" l="1"/>
  <c r="AM56" i="36" s="1"/>
  <c r="AZ49" i="2"/>
  <c r="AZ53" i="2"/>
  <c r="AZ48" i="2"/>
  <c r="AZ47" i="2"/>
  <c r="AZ51" i="2"/>
  <c r="AZ46" i="2"/>
  <c r="AZ52" i="2"/>
  <c r="AZ50" i="2"/>
  <c r="AZ54" i="2" l="1"/>
  <c r="AN56" i="36" s="1"/>
  <c r="BA46" i="2"/>
  <c r="BA47" i="2"/>
  <c r="BA50" i="2"/>
  <c r="BA49" i="2"/>
  <c r="BA48" i="2"/>
  <c r="BA52" i="2"/>
  <c r="BA51" i="2"/>
  <c r="BA53" i="2"/>
  <c r="E24" i="2"/>
  <c r="BA54" i="2" l="1"/>
  <c r="AO56" i="36" s="1"/>
  <c r="BB48" i="2"/>
  <c r="BB47" i="2"/>
  <c r="BB52" i="2"/>
  <c r="BB51" i="2"/>
  <c r="BB46" i="2"/>
  <c r="BB49" i="2"/>
  <c r="BB53" i="2"/>
  <c r="BB50" i="2"/>
  <c r="BB54" i="2" l="1"/>
  <c r="AP56" i="36" s="1"/>
  <c r="BC49" i="2"/>
  <c r="BC50" i="2"/>
  <c r="BC52" i="2"/>
  <c r="BC53" i="2"/>
  <c r="BC47" i="2"/>
  <c r="BC48" i="2"/>
  <c r="BC51" i="2"/>
  <c r="BC46" i="2"/>
  <c r="BC54" i="2" l="1"/>
  <c r="AQ56" i="36" s="1"/>
  <c r="BD50" i="2"/>
  <c r="BD51" i="2"/>
  <c r="BD49" i="2"/>
  <c r="BD46" i="2"/>
  <c r="BD48" i="2"/>
  <c r="BD53" i="2"/>
  <c r="BD52" i="2"/>
  <c r="BD47" i="2"/>
  <c r="BD54" i="2" l="1"/>
  <c r="AR56" i="36" s="1"/>
  <c r="BE47" i="2"/>
  <c r="BE46" i="2"/>
  <c r="BE51" i="2"/>
  <c r="BE50" i="2"/>
  <c r="BE49" i="2"/>
  <c r="BE48" i="2"/>
  <c r="BE53" i="2"/>
  <c r="BE52" i="2"/>
  <c r="BE54" i="2" l="1"/>
  <c r="AS56" i="36" s="1"/>
  <c r="BF47" i="2"/>
  <c r="BF51" i="2"/>
  <c r="BF52" i="2"/>
  <c r="BF53" i="2"/>
  <c r="BF48" i="2"/>
  <c r="BF46" i="2"/>
  <c r="BF49" i="2"/>
  <c r="BF50" i="2"/>
  <c r="BF54" i="2" l="1"/>
  <c r="AT56" i="36" s="1"/>
  <c r="BG49" i="2"/>
  <c r="BG53" i="2"/>
  <c r="BG48" i="2"/>
  <c r="BG52" i="2"/>
  <c r="BG47" i="2"/>
  <c r="BG46" i="2"/>
  <c r="BG51" i="2"/>
  <c r="BG50" i="2"/>
  <c r="BG54" i="2" l="1"/>
  <c r="AU56" i="36" s="1"/>
  <c r="BH47" i="2"/>
  <c r="BH53" i="2"/>
  <c r="BH50" i="2"/>
  <c r="BH48" i="2"/>
  <c r="BH51" i="2"/>
  <c r="BH52" i="2"/>
  <c r="BH46" i="2"/>
  <c r="BH49" i="2"/>
  <c r="BH54" i="2" l="1"/>
  <c r="AV56" i="36" s="1"/>
  <c r="BI47" i="2"/>
  <c r="BI51" i="2"/>
  <c r="BI50" i="2"/>
  <c r="BI49" i="2"/>
  <c r="BI48" i="2"/>
  <c r="BI46" i="2"/>
  <c r="BI53" i="2"/>
  <c r="BI52" i="2"/>
  <c r="BI54" i="2" l="1"/>
  <c r="AW56" i="36" s="1"/>
  <c r="BJ48" i="2"/>
  <c r="BJ47" i="2"/>
  <c r="BJ46" i="2"/>
  <c r="BJ53" i="2"/>
  <c r="BJ52" i="2"/>
  <c r="BJ51" i="2"/>
  <c r="BJ49" i="2"/>
  <c r="BJ50" i="2"/>
  <c r="BJ54" i="2" l="1"/>
  <c r="AX56" i="36" s="1"/>
  <c r="BK47" i="2"/>
  <c r="BK46" i="2"/>
  <c r="BK50" i="2"/>
  <c r="BK48" i="2"/>
  <c r="BK49" i="2"/>
  <c r="BK52" i="2"/>
  <c r="BK53" i="2"/>
  <c r="BK51" i="2"/>
  <c r="BK54" i="2" l="1"/>
  <c r="AY56" i="36" s="1"/>
  <c r="BL50" i="2"/>
  <c r="BL46" i="2"/>
  <c r="BL49" i="2"/>
  <c r="BL48" i="2"/>
  <c r="BL47" i="2"/>
  <c r="BL52" i="2"/>
  <c r="BL51" i="2"/>
  <c r="BL53" i="2"/>
  <c r="BL54" i="2" l="1"/>
  <c r="AZ56" i="36" s="1"/>
  <c r="BM46" i="2"/>
  <c r="BM47" i="2"/>
  <c r="BM49" i="2"/>
  <c r="BM50" i="2"/>
  <c r="BM51" i="2"/>
  <c r="BM53" i="2"/>
  <c r="BM48" i="2"/>
  <c r="BM52" i="2"/>
  <c r="F24" i="2"/>
  <c r="BM54" i="2" l="1"/>
  <c r="BA56" i="36" s="1"/>
  <c r="BN52" i="2"/>
  <c r="BN47" i="2"/>
  <c r="BN49" i="2"/>
  <c r="BN51" i="2"/>
  <c r="BN46" i="2"/>
  <c r="BN50" i="2"/>
  <c r="BN53" i="2"/>
  <c r="BN48" i="2"/>
  <c r="BN54" i="2" l="1"/>
  <c r="BB56" i="36" s="1"/>
  <c r="BO53" i="2"/>
  <c r="BO49" i="2"/>
  <c r="BO48" i="2"/>
  <c r="BO52" i="2"/>
  <c r="BO47" i="2"/>
  <c r="BO51" i="2"/>
  <c r="BO50" i="2"/>
  <c r="BO46" i="2"/>
  <c r="BO54" i="2" l="1"/>
  <c r="BC56" i="36" s="1"/>
  <c r="BP53" i="2"/>
  <c r="BP50" i="2"/>
  <c r="BP49" i="2"/>
  <c r="BP48" i="2"/>
  <c r="BP47" i="2"/>
  <c r="BP52" i="2"/>
  <c r="BP51" i="2"/>
  <c r="BP46" i="2"/>
  <c r="BP54" i="2" l="1"/>
  <c r="BD56" i="36" s="1"/>
  <c r="BQ48" i="2"/>
  <c r="BQ46" i="2"/>
  <c r="BQ47" i="2"/>
  <c r="BQ52" i="2"/>
  <c r="BQ50" i="2"/>
  <c r="BQ49" i="2"/>
  <c r="BQ51" i="2"/>
  <c r="BQ53" i="2"/>
  <c r="BQ54" i="2" l="1"/>
  <c r="BE56" i="36" s="1"/>
  <c r="BR47" i="2"/>
  <c r="BR52" i="2"/>
  <c r="BR53" i="2"/>
  <c r="BR46" i="2"/>
  <c r="BR51" i="2"/>
  <c r="BR49" i="2"/>
  <c r="BR48" i="2"/>
  <c r="BR50" i="2"/>
  <c r="BR54" i="2" l="1"/>
  <c r="BF56" i="36" s="1"/>
  <c r="BS48" i="2"/>
  <c r="BS53" i="2"/>
  <c r="BS46" i="2"/>
  <c r="BS52" i="2"/>
  <c r="BS47" i="2"/>
  <c r="BS50" i="2"/>
  <c r="BS49" i="2"/>
  <c r="BS51" i="2"/>
  <c r="BS54" i="2" l="1"/>
  <c r="BG56" i="36" s="1"/>
  <c r="BT46" i="2"/>
  <c r="BT51" i="2"/>
  <c r="BT50" i="2"/>
  <c r="BT48" i="2"/>
  <c r="BT49" i="2"/>
  <c r="BT47" i="2"/>
  <c r="BT53" i="2"/>
  <c r="BT52" i="2"/>
  <c r="BT54" i="2" l="1"/>
  <c r="BH56" i="36" s="1"/>
  <c r="BU47" i="2"/>
  <c r="BU52" i="2"/>
  <c r="BU50" i="2"/>
  <c r="BU46" i="2"/>
  <c r="BU51" i="2"/>
  <c r="BU49" i="2"/>
  <c r="BU48" i="2"/>
  <c r="BU53" i="2"/>
  <c r="BU54" i="2" l="1"/>
  <c r="BI56" i="36" s="1"/>
  <c r="BV49" i="2"/>
  <c r="BV51" i="2"/>
  <c r="BV46" i="2"/>
  <c r="BV53" i="2"/>
  <c r="BV50" i="2"/>
  <c r="BV48" i="2"/>
  <c r="BV47" i="2"/>
  <c r="BV52" i="2"/>
  <c r="BV54" i="2" l="1"/>
  <c r="BJ56" i="36" s="1"/>
  <c r="BK3" i="42" l="1"/>
  <c r="BJ3" i="42"/>
  <c r="BI3" i="42"/>
  <c r="BH3" i="42"/>
  <c r="BG3" i="42"/>
  <c r="BF3" i="42"/>
  <c r="BE3" i="42"/>
  <c r="BD3" i="42"/>
  <c r="BC3" i="42"/>
  <c r="BB3" i="42"/>
  <c r="BA3" i="42"/>
  <c r="AZ3" i="42"/>
  <c r="AY3" i="42"/>
  <c r="AX3" i="42"/>
  <c r="AW3" i="42"/>
  <c r="AV3" i="42"/>
  <c r="AU3" i="42"/>
  <c r="AT3" i="42"/>
  <c r="AS3" i="42"/>
  <c r="AR3" i="42"/>
  <c r="AQ3" i="42"/>
  <c r="AP3" i="42"/>
  <c r="AO3" i="42"/>
  <c r="AN3" i="42"/>
  <c r="AM3" i="42"/>
  <c r="AL3" i="42"/>
  <c r="AK3" i="42"/>
  <c r="AJ3" i="42"/>
  <c r="AI3" i="42"/>
  <c r="AH3" i="42"/>
  <c r="AG3" i="42"/>
  <c r="AF3" i="42"/>
  <c r="AE3" i="42"/>
  <c r="AD3" i="42"/>
  <c r="AC3" i="42"/>
  <c r="AB3" i="42"/>
  <c r="AA3" i="42"/>
  <c r="Z3" i="42"/>
  <c r="Y3" i="42"/>
  <c r="X3" i="42"/>
  <c r="W3" i="42"/>
  <c r="V3" i="42"/>
  <c r="U3" i="42"/>
  <c r="T3" i="42"/>
  <c r="S3" i="42"/>
  <c r="R3" i="42"/>
  <c r="Q3" i="42"/>
  <c r="P3" i="42"/>
  <c r="G24" i="2" l="1"/>
  <c r="O3" i="42" l="1"/>
  <c r="N3" i="42"/>
  <c r="M3" i="42"/>
  <c r="L3" i="42"/>
  <c r="K3" i="42"/>
  <c r="J3" i="42"/>
  <c r="I3" i="42"/>
  <c r="H3" i="42"/>
  <c r="G3" i="42"/>
  <c r="F3" i="42"/>
  <c r="E3" i="42"/>
  <c r="D3" i="42"/>
  <c r="L10" i="40" l="1"/>
  <c r="A2" i="38" l="1"/>
  <c r="A2" i="37"/>
  <c r="A2" i="36"/>
  <c r="G2" i="39" l="1"/>
  <c r="G25" i="39" s="1"/>
  <c r="F2" i="39"/>
  <c r="F25" i="39" s="1"/>
  <c r="E2" i="39"/>
  <c r="E25" i="39" s="1"/>
  <c r="D2" i="39"/>
  <c r="D25" i="39" s="1"/>
  <c r="C2" i="39"/>
  <c r="C25" i="39" s="1"/>
  <c r="C26" i="38" l="1"/>
  <c r="G4" i="38"/>
  <c r="N7" i="38" s="1"/>
  <c r="F4" i="38"/>
  <c r="M7" i="38" s="1"/>
  <c r="E4" i="38"/>
  <c r="L7" i="38" s="1"/>
  <c r="D4" i="38"/>
  <c r="K7" i="38" s="1"/>
  <c r="C4" i="38"/>
  <c r="J7" i="38" s="1"/>
  <c r="A3" i="38"/>
  <c r="H4" i="37"/>
  <c r="O4" i="37" s="1"/>
  <c r="G4" i="37"/>
  <c r="N4" i="37" s="1"/>
  <c r="F4" i="37"/>
  <c r="M4" i="37" s="1"/>
  <c r="E4" i="37"/>
  <c r="L4" i="37" s="1"/>
  <c r="D4" i="37"/>
  <c r="K4" i="37" s="1"/>
  <c r="A3" i="37"/>
  <c r="G4" i="36"/>
  <c r="F4" i="36"/>
  <c r="E4" i="36"/>
  <c r="D4" i="36"/>
  <c r="C4" i="36"/>
  <c r="D2" i="28"/>
  <c r="H2" i="28"/>
  <c r="G2" i="28"/>
  <c r="F2" i="28"/>
  <c r="E2" i="28"/>
  <c r="AD4" i="21"/>
  <c r="AP4" i="21" s="1"/>
  <c r="AE4" i="21"/>
  <c r="AF4" i="21"/>
  <c r="AR4" i="21" s="1"/>
  <c r="AG4" i="21"/>
  <c r="AS4" i="21" s="1"/>
  <c r="AH4" i="21"/>
  <c r="AT4" i="21" s="1"/>
  <c r="AI4" i="21"/>
  <c r="AU4" i="21" s="1"/>
  <c r="AJ4" i="21"/>
  <c r="AV4" i="21" s="1"/>
  <c r="AK4" i="21"/>
  <c r="AW4" i="21" s="1"/>
  <c r="AL4" i="21"/>
  <c r="AX4" i="21" s="1"/>
  <c r="AM4" i="21"/>
  <c r="AY4" i="21" s="1"/>
  <c r="AN4" i="21"/>
  <c r="AZ4" i="21" s="1"/>
  <c r="AO4" i="21"/>
  <c r="BA4" i="21" s="1"/>
  <c r="AQ4" i="21"/>
  <c r="BB4" i="21"/>
  <c r="BC4" i="21"/>
  <c r="BD4" i="21"/>
  <c r="BE4" i="21"/>
  <c r="BF4" i="21"/>
  <c r="BG4" i="21"/>
  <c r="BH4" i="21"/>
  <c r="BI4" i="21"/>
  <c r="BJ4" i="21"/>
  <c r="BK4" i="21"/>
  <c r="BL4" i="21"/>
  <c r="BM4" i="21"/>
  <c r="F4" i="21"/>
  <c r="R4" i="21" s="1"/>
  <c r="G4" i="21"/>
  <c r="S4" i="21" s="1"/>
  <c r="H4" i="21"/>
  <c r="T4" i="21" s="1"/>
  <c r="I4" i="21"/>
  <c r="U4" i="21" s="1"/>
  <c r="J4" i="21"/>
  <c r="V4" i="21" s="1"/>
  <c r="K4" i="21"/>
  <c r="W4" i="21" s="1"/>
  <c r="L4" i="21"/>
  <c r="X4" i="21" s="1"/>
  <c r="M4" i="21"/>
  <c r="Y4" i="21" s="1"/>
  <c r="N4" i="21"/>
  <c r="Z4" i="21" s="1"/>
  <c r="O4" i="21"/>
  <c r="AA4" i="21" s="1"/>
  <c r="P4" i="21"/>
  <c r="AB4" i="21" s="1"/>
  <c r="Q4" i="21"/>
  <c r="AC4" i="21" s="1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R3" i="51" l="1"/>
  <c r="AD3" i="51"/>
  <c r="BB3" i="51"/>
  <c r="AP3" i="51"/>
  <c r="F3" i="21"/>
  <c r="F21" i="21" s="1"/>
  <c r="F3" i="51"/>
  <c r="R21" i="21"/>
  <c r="V5" i="22"/>
  <c r="R3" i="21"/>
  <c r="AA3" i="2"/>
  <c r="J5" i="22"/>
  <c r="C5" i="22" s="1"/>
  <c r="D5" i="22" s="1"/>
  <c r="E5" i="22" s="1"/>
  <c r="F5" i="22" s="1"/>
  <c r="G5" i="22" s="1"/>
  <c r="O3" i="2"/>
  <c r="C3" i="2" s="1"/>
  <c r="D3" i="2" s="1"/>
  <c r="E3" i="2" s="1"/>
  <c r="F3" i="2" s="1"/>
  <c r="G3" i="2" s="1"/>
  <c r="AH5" i="22"/>
  <c r="AD3" i="21"/>
  <c r="AD21" i="21"/>
  <c r="AM3" i="2"/>
  <c r="AP3" i="21"/>
  <c r="AT5" i="22"/>
  <c r="AP21" i="21"/>
  <c r="AY3" i="2"/>
  <c r="BB3" i="21"/>
  <c r="BB21" i="21"/>
  <c r="BF5" i="22"/>
  <c r="BK3" i="2"/>
  <c r="O58" i="2"/>
  <c r="O23" i="2"/>
  <c r="D2" i="42"/>
  <c r="AA58" i="2"/>
  <c r="AA23" i="2"/>
  <c r="P2" i="42"/>
  <c r="AY58" i="2"/>
  <c r="AY23" i="2"/>
  <c r="AN2" i="42"/>
  <c r="AM23" i="2"/>
  <c r="AM58" i="2"/>
  <c r="AB2" i="42"/>
  <c r="BK58" i="2"/>
  <c r="BK23" i="2"/>
  <c r="AZ2" i="42"/>
  <c r="E22" i="38"/>
  <c r="D22" i="38"/>
  <c r="F23" i="38"/>
  <c r="E23" i="38"/>
  <c r="D23" i="38"/>
  <c r="G22" i="38"/>
  <c r="F22" i="38"/>
  <c r="G23" i="38"/>
  <c r="K59" i="2" l="1"/>
  <c r="L59" i="2" s="1"/>
  <c r="M59" i="2" s="1"/>
  <c r="N59" i="2" s="1"/>
  <c r="C58" i="2"/>
  <c r="D58" i="2" s="1"/>
  <c r="E58" i="2" s="1"/>
  <c r="F58" i="2" s="1"/>
  <c r="G58" i="2" s="1"/>
  <c r="J24" i="2"/>
  <c r="C23" i="2"/>
  <c r="D23" i="2" s="1"/>
  <c r="E23" i="2" s="1"/>
  <c r="F23" i="2" s="1"/>
  <c r="G23" i="2" s="1"/>
  <c r="K4" i="2"/>
  <c r="L4" i="2" s="1"/>
  <c r="M4" i="2" s="1"/>
  <c r="N4" i="2" s="1"/>
  <c r="F25" i="21"/>
  <c r="G25" i="21" s="1"/>
  <c r="G26" i="21" s="1"/>
  <c r="E43" i="37" s="1"/>
  <c r="F26" i="21"/>
  <c r="D43" i="37" s="1"/>
  <c r="K24" i="2" l="1"/>
  <c r="J35" i="2"/>
  <c r="K35" i="2" s="1"/>
  <c r="L35" i="2" s="1"/>
  <c r="M35" i="2" s="1"/>
  <c r="N35" i="2" s="1"/>
  <c r="H25" i="21"/>
  <c r="H26" i="21" s="1"/>
  <c r="F43" i="37" s="1"/>
  <c r="C59" i="2"/>
  <c r="C6" i="36"/>
  <c r="D9" i="37"/>
  <c r="C5" i="36"/>
  <c r="E10" i="46" l="1"/>
  <c r="O6" i="2"/>
  <c r="O14" i="2"/>
  <c r="O11" i="2"/>
  <c r="O7" i="2"/>
  <c r="O15" i="2"/>
  <c r="O5" i="2"/>
  <c r="O8" i="2"/>
  <c r="O16" i="2"/>
  <c r="O9" i="2"/>
  <c r="O17" i="2"/>
  <c r="B3" i="43"/>
  <c r="O10" i="2"/>
  <c r="O18" i="2"/>
  <c r="O12" i="2"/>
  <c r="O13" i="2"/>
  <c r="C9" i="39"/>
  <c r="I25" i="21"/>
  <c r="I26" i="21" s="1"/>
  <c r="G43" i="37" s="1"/>
  <c r="C7" i="36"/>
  <c r="D8" i="37"/>
  <c r="D10" i="37"/>
  <c r="C11" i="38"/>
  <c r="C50" i="36" l="1"/>
  <c r="P13" i="2"/>
  <c r="C45" i="36"/>
  <c r="P8" i="2"/>
  <c r="P15" i="2"/>
  <c r="C52" i="36"/>
  <c r="B3" i="54"/>
  <c r="B5" i="54" s="1"/>
  <c r="B13" i="54" s="1"/>
  <c r="P5" i="2"/>
  <c r="C42" i="36"/>
  <c r="O19" i="2"/>
  <c r="C47" i="36"/>
  <c r="P10" i="2"/>
  <c r="C44" i="36"/>
  <c r="P7" i="2"/>
  <c r="P11" i="2"/>
  <c r="C48" i="36"/>
  <c r="P12" i="2"/>
  <c r="C49" i="36"/>
  <c r="P14" i="2"/>
  <c r="C51" i="36"/>
  <c r="C54" i="36"/>
  <c r="P17" i="2"/>
  <c r="C46" i="36"/>
  <c r="P9" i="2"/>
  <c r="P6" i="2"/>
  <c r="C43" i="36"/>
  <c r="P18" i="2"/>
  <c r="C55" i="36"/>
  <c r="P16" i="2"/>
  <c r="C53" i="36"/>
  <c r="C12" i="39"/>
  <c r="C26" i="39" s="1"/>
  <c r="B4" i="43"/>
  <c r="J25" i="21"/>
  <c r="J26" i="21" s="1"/>
  <c r="H43" i="37" s="1"/>
  <c r="D59" i="2"/>
  <c r="C8" i="39"/>
  <c r="C10" i="38"/>
  <c r="C12" i="38"/>
  <c r="D5" i="36"/>
  <c r="D6" i="36"/>
  <c r="E9" i="37"/>
  <c r="Q17" i="2" l="1"/>
  <c r="D54" i="36"/>
  <c r="Q16" i="2"/>
  <c r="D53" i="36"/>
  <c r="D52" i="36"/>
  <c r="Q15" i="2"/>
  <c r="Q18" i="2"/>
  <c r="D55" i="36"/>
  <c r="D47" i="36"/>
  <c r="Q10" i="2"/>
  <c r="D45" i="36"/>
  <c r="Q8" i="2"/>
  <c r="F10" i="46"/>
  <c r="C3" i="43"/>
  <c r="D51" i="36"/>
  <c r="Q14" i="2"/>
  <c r="D42" i="36"/>
  <c r="Q5" i="2"/>
  <c r="P19" i="2"/>
  <c r="Q6" i="2"/>
  <c r="D43" i="36"/>
  <c r="Q13" i="2"/>
  <c r="D50" i="36"/>
  <c r="Q11" i="2"/>
  <c r="D48" i="36"/>
  <c r="D44" i="36"/>
  <c r="Q7" i="2"/>
  <c r="Q9" i="2"/>
  <c r="D46" i="36"/>
  <c r="D49" i="36"/>
  <c r="Q12" i="2"/>
  <c r="C58" i="36"/>
  <c r="D9" i="39"/>
  <c r="B8" i="43"/>
  <c r="K25" i="21"/>
  <c r="K26" i="21" s="1"/>
  <c r="I43" i="37" s="1"/>
  <c r="E59" i="2"/>
  <c r="H9" i="37"/>
  <c r="E6" i="36"/>
  <c r="E10" i="37"/>
  <c r="E5" i="36"/>
  <c r="F9" i="37"/>
  <c r="D7" i="36"/>
  <c r="E8" i="37"/>
  <c r="R7" i="2" l="1"/>
  <c r="E44" i="36"/>
  <c r="R14" i="2"/>
  <c r="E51" i="36"/>
  <c r="R16" i="2"/>
  <c r="E53" i="36"/>
  <c r="E47" i="36"/>
  <c r="R10" i="2"/>
  <c r="R12" i="2"/>
  <c r="E49" i="36"/>
  <c r="E48" i="36"/>
  <c r="R11" i="2"/>
  <c r="D58" i="36"/>
  <c r="R18" i="2"/>
  <c r="E55" i="36"/>
  <c r="R6" i="2"/>
  <c r="E43" i="36"/>
  <c r="E46" i="36"/>
  <c r="R9" i="2"/>
  <c r="R17" i="2"/>
  <c r="E54" i="36"/>
  <c r="D48" i="37"/>
  <c r="C59" i="36"/>
  <c r="R5" i="2"/>
  <c r="E42" i="36"/>
  <c r="Q19" i="2"/>
  <c r="G10" i="46"/>
  <c r="D3" i="43"/>
  <c r="R13" i="2"/>
  <c r="E50" i="36"/>
  <c r="R8" i="2"/>
  <c r="E45" i="36"/>
  <c r="R15" i="2"/>
  <c r="E52" i="36"/>
  <c r="E9" i="39"/>
  <c r="D12" i="39"/>
  <c r="D26" i="39" s="1"/>
  <c r="C4" i="43"/>
  <c r="L25" i="21"/>
  <c r="L26" i="21" s="1"/>
  <c r="J43" i="37" s="1"/>
  <c r="G59" i="2"/>
  <c r="F59" i="2"/>
  <c r="D8" i="39"/>
  <c r="D11" i="38"/>
  <c r="G9" i="37"/>
  <c r="H10" i="37"/>
  <c r="H8" i="37"/>
  <c r="F6" i="36"/>
  <c r="G6" i="36"/>
  <c r="G9" i="39" s="1"/>
  <c r="E7" i="36"/>
  <c r="F8" i="37"/>
  <c r="D12" i="38"/>
  <c r="F5" i="36"/>
  <c r="G5" i="36"/>
  <c r="D10" i="38"/>
  <c r="F10" i="37"/>
  <c r="F54" i="36" l="1"/>
  <c r="S17" i="2"/>
  <c r="H10" i="46"/>
  <c r="E3" i="43"/>
  <c r="S9" i="2"/>
  <c r="F46" i="36"/>
  <c r="E48" i="37"/>
  <c r="D59" i="36"/>
  <c r="F53" i="36"/>
  <c r="S16" i="2"/>
  <c r="S13" i="2"/>
  <c r="F50" i="36"/>
  <c r="I10" i="46"/>
  <c r="F3" i="43"/>
  <c r="S11" i="2"/>
  <c r="F48" i="36"/>
  <c r="S15" i="2"/>
  <c r="F52" i="36"/>
  <c r="F51" i="36"/>
  <c r="S14" i="2"/>
  <c r="E58" i="36"/>
  <c r="S5" i="2"/>
  <c r="F42" i="36"/>
  <c r="R19" i="2"/>
  <c r="S6" i="2"/>
  <c r="F43" i="36"/>
  <c r="S8" i="2"/>
  <c r="F45" i="36"/>
  <c r="S12" i="2"/>
  <c r="F49" i="36"/>
  <c r="S7" i="2"/>
  <c r="F44" i="36"/>
  <c r="D51" i="37"/>
  <c r="C42" i="38"/>
  <c r="S18" i="2"/>
  <c r="F55" i="36"/>
  <c r="S10" i="2"/>
  <c r="F47" i="36"/>
  <c r="F9" i="39"/>
  <c r="E12" i="39"/>
  <c r="E26" i="39" s="1"/>
  <c r="D4" i="43"/>
  <c r="C8" i="43"/>
  <c r="M25" i="21"/>
  <c r="M26" i="21" s="1"/>
  <c r="K43" i="37" s="1"/>
  <c r="E8" i="39"/>
  <c r="E12" i="38"/>
  <c r="G7" i="36"/>
  <c r="E10" i="38"/>
  <c r="G8" i="37"/>
  <c r="G11" i="38"/>
  <c r="F7" i="36"/>
  <c r="G10" i="37"/>
  <c r="E11" i="38"/>
  <c r="J10" i="46" l="1"/>
  <c r="G42" i="36"/>
  <c r="T5" i="2"/>
  <c r="S19" i="2"/>
  <c r="T11" i="2"/>
  <c r="G48" i="36"/>
  <c r="D8" i="43"/>
  <c r="E59" i="36"/>
  <c r="F48" i="37"/>
  <c r="F58" i="36"/>
  <c r="G51" i="36"/>
  <c r="T14" i="2"/>
  <c r="T9" i="2"/>
  <c r="G46" i="36"/>
  <c r="T18" i="2"/>
  <c r="G55" i="36"/>
  <c r="E51" i="37"/>
  <c r="D42" i="38"/>
  <c r="T10" i="2"/>
  <c r="G47" i="36"/>
  <c r="G44" i="36"/>
  <c r="T7" i="2"/>
  <c r="T6" i="2"/>
  <c r="G43" i="36"/>
  <c r="T13" i="2"/>
  <c r="G50" i="36"/>
  <c r="G49" i="36"/>
  <c r="T12" i="2"/>
  <c r="T8" i="2"/>
  <c r="G45" i="36"/>
  <c r="T15" i="2"/>
  <c r="G52" i="36"/>
  <c r="T16" i="2"/>
  <c r="G53" i="36"/>
  <c r="T17" i="2"/>
  <c r="G54" i="36"/>
  <c r="G8" i="39"/>
  <c r="G3" i="43"/>
  <c r="F12" i="39"/>
  <c r="F26" i="39" s="1"/>
  <c r="E4" i="43"/>
  <c r="G12" i="39"/>
  <c r="G26" i="39" s="1"/>
  <c r="F4" i="43"/>
  <c r="N25" i="21"/>
  <c r="N26" i="21" s="1"/>
  <c r="L43" i="37" s="1"/>
  <c r="F8" i="39"/>
  <c r="F10" i="38"/>
  <c r="F12" i="38"/>
  <c r="F11" i="38"/>
  <c r="G10" i="38"/>
  <c r="G12" i="38"/>
  <c r="H48" i="36" l="1"/>
  <c r="U11" i="2"/>
  <c r="U15" i="2"/>
  <c r="H52" i="36"/>
  <c r="G48" i="37"/>
  <c r="F59" i="36"/>
  <c r="U5" i="2"/>
  <c r="H42" i="36"/>
  <c r="T19" i="2"/>
  <c r="G58" i="36"/>
  <c r="H44" i="36"/>
  <c r="U7" i="2"/>
  <c r="U8" i="2"/>
  <c r="H45" i="36"/>
  <c r="F51" i="37"/>
  <c r="E42" i="38"/>
  <c r="F8" i="43"/>
  <c r="U12" i="2"/>
  <c r="H49" i="36"/>
  <c r="U18" i="2"/>
  <c r="H55" i="36"/>
  <c r="H54" i="36"/>
  <c r="U17" i="2"/>
  <c r="U10" i="2"/>
  <c r="H47" i="36"/>
  <c r="U6" i="2"/>
  <c r="H43" i="36"/>
  <c r="E8" i="43"/>
  <c r="U9" i="2"/>
  <c r="H46" i="36"/>
  <c r="U16" i="2"/>
  <c r="H53" i="36"/>
  <c r="U13" i="2"/>
  <c r="H50" i="36"/>
  <c r="U14" i="2"/>
  <c r="H51" i="36"/>
  <c r="G4" i="43"/>
  <c r="G8" i="43" s="1"/>
  <c r="O25" i="21"/>
  <c r="O26" i="21" s="1"/>
  <c r="M43" i="37" s="1"/>
  <c r="C24" i="36"/>
  <c r="C23" i="36"/>
  <c r="G51" i="37" l="1"/>
  <c r="F42" i="38"/>
  <c r="V16" i="2"/>
  <c r="I53" i="36"/>
  <c r="I55" i="36"/>
  <c r="V18" i="2"/>
  <c r="V7" i="2"/>
  <c r="I44" i="36"/>
  <c r="V8" i="2"/>
  <c r="I45" i="36"/>
  <c r="V9" i="2"/>
  <c r="I46" i="36"/>
  <c r="I49" i="36"/>
  <c r="V12" i="2"/>
  <c r="V15" i="2"/>
  <c r="I52" i="36"/>
  <c r="V13" i="2"/>
  <c r="I50" i="36"/>
  <c r="I47" i="36"/>
  <c r="V10" i="2"/>
  <c r="H48" i="37"/>
  <c r="G59" i="36"/>
  <c r="V11" i="2"/>
  <c r="I48" i="36"/>
  <c r="I51" i="36"/>
  <c r="V14" i="2"/>
  <c r="V17" i="2"/>
  <c r="I54" i="36"/>
  <c r="V5" i="2"/>
  <c r="I42" i="36"/>
  <c r="U19" i="2"/>
  <c r="V6" i="2"/>
  <c r="I43" i="36"/>
  <c r="H58" i="36"/>
  <c r="P25" i="21"/>
  <c r="P26" i="21" s="1"/>
  <c r="N43" i="37" s="1"/>
  <c r="E23" i="36"/>
  <c r="I58" i="36" l="1"/>
  <c r="I59" i="36" s="1"/>
  <c r="W11" i="2"/>
  <c r="J48" i="36"/>
  <c r="W15" i="2"/>
  <c r="J52" i="36"/>
  <c r="W7" i="2"/>
  <c r="J44" i="36"/>
  <c r="H51" i="37"/>
  <c r="G42" i="38"/>
  <c r="W12" i="2"/>
  <c r="J49" i="36"/>
  <c r="J54" i="36"/>
  <c r="W17" i="2"/>
  <c r="W9" i="2"/>
  <c r="J46" i="36"/>
  <c r="W16" i="2"/>
  <c r="J53" i="36"/>
  <c r="W18" i="2"/>
  <c r="J55" i="36"/>
  <c r="W10" i="2"/>
  <c r="J47" i="36"/>
  <c r="H59" i="36"/>
  <c r="I48" i="37"/>
  <c r="J51" i="36"/>
  <c r="W14" i="2"/>
  <c r="W5" i="2"/>
  <c r="J42" i="36"/>
  <c r="V19" i="2"/>
  <c r="J50" i="36"/>
  <c r="W13" i="2"/>
  <c r="W8" i="2"/>
  <c r="J45" i="36"/>
  <c r="J43" i="36"/>
  <c r="W6" i="2"/>
  <c r="Q25" i="21"/>
  <c r="Q26" i="21" s="1"/>
  <c r="O43" i="37" s="1"/>
  <c r="D23" i="37"/>
  <c r="C17" i="38"/>
  <c r="D23" i="36"/>
  <c r="J48" i="37" l="1"/>
  <c r="J51" i="37" s="1"/>
  <c r="X10" i="2"/>
  <c r="K47" i="36"/>
  <c r="K46" i="36"/>
  <c r="X9" i="2"/>
  <c r="X17" i="2"/>
  <c r="K54" i="36"/>
  <c r="X7" i="2"/>
  <c r="K44" i="36"/>
  <c r="J58" i="36"/>
  <c r="K43" i="36"/>
  <c r="X6" i="2"/>
  <c r="K42" i="36"/>
  <c r="X5" i="2"/>
  <c r="W19" i="2"/>
  <c r="X18" i="2"/>
  <c r="K55" i="36"/>
  <c r="I42" i="38"/>
  <c r="X15" i="2"/>
  <c r="K52" i="36"/>
  <c r="K51" i="36"/>
  <c r="X14" i="2"/>
  <c r="K45" i="36"/>
  <c r="X8" i="2"/>
  <c r="X12" i="2"/>
  <c r="K49" i="36"/>
  <c r="K48" i="36"/>
  <c r="X11" i="2"/>
  <c r="I51" i="37"/>
  <c r="H42" i="38"/>
  <c r="X13" i="2"/>
  <c r="K50" i="36"/>
  <c r="K53" i="36"/>
  <c r="X16" i="2"/>
  <c r="R25" i="21"/>
  <c r="R26" i="21" s="1"/>
  <c r="P43" i="37" s="1"/>
  <c r="D13" i="37"/>
  <c r="L51" i="36" l="1"/>
  <c r="Y14" i="2"/>
  <c r="L54" i="36"/>
  <c r="Y17" i="2"/>
  <c r="Y18" i="2"/>
  <c r="L55" i="36"/>
  <c r="Y9" i="2"/>
  <c r="L46" i="36"/>
  <c r="Y13" i="2"/>
  <c r="L50" i="36"/>
  <c r="Y11" i="2"/>
  <c r="L48" i="36"/>
  <c r="Y15" i="2"/>
  <c r="L52" i="36"/>
  <c r="L43" i="36"/>
  <c r="Y6" i="2"/>
  <c r="Y7" i="2"/>
  <c r="L44" i="36"/>
  <c r="K58" i="36"/>
  <c r="Y16" i="2"/>
  <c r="L53" i="36"/>
  <c r="L49" i="36"/>
  <c r="Y12" i="2"/>
  <c r="K48" i="37"/>
  <c r="J59" i="36"/>
  <c r="Y10" i="2"/>
  <c r="L47" i="36"/>
  <c r="L42" i="36"/>
  <c r="Y5" i="2"/>
  <c r="X19" i="2"/>
  <c r="Y8" i="2"/>
  <c r="L45" i="36"/>
  <c r="S25" i="21"/>
  <c r="S26" i="21" s="1"/>
  <c r="Q43" i="37" s="1"/>
  <c r="F23" i="36"/>
  <c r="Z9" i="2" l="1"/>
  <c r="M46" i="36"/>
  <c r="Z15" i="2"/>
  <c r="M52" i="36"/>
  <c r="Z17" i="2"/>
  <c r="M54" i="36"/>
  <c r="M45" i="36"/>
  <c r="Z8" i="2"/>
  <c r="M42" i="36"/>
  <c r="Z5" i="2"/>
  <c r="Y19" i="2"/>
  <c r="Z18" i="2"/>
  <c r="M55" i="36"/>
  <c r="Z16" i="2"/>
  <c r="M53" i="36"/>
  <c r="K59" i="36"/>
  <c r="L48" i="37"/>
  <c r="Z10" i="2"/>
  <c r="M47" i="36"/>
  <c r="Z14" i="2"/>
  <c r="M51" i="36"/>
  <c r="Z12" i="2"/>
  <c r="M49" i="36"/>
  <c r="L58" i="36"/>
  <c r="Z11" i="2"/>
  <c r="M48" i="36"/>
  <c r="Z7" i="2"/>
  <c r="M44" i="36"/>
  <c r="M50" i="36"/>
  <c r="Z13" i="2"/>
  <c r="K51" i="37"/>
  <c r="J42" i="38"/>
  <c r="Z6" i="2"/>
  <c r="M43" i="36"/>
  <c r="T25" i="21"/>
  <c r="T26" i="21" s="1"/>
  <c r="R43" i="37" s="1"/>
  <c r="G23" i="36"/>
  <c r="D24" i="36"/>
  <c r="N45" i="36" l="1"/>
  <c r="C12" i="36" s="1"/>
  <c r="AA8" i="2"/>
  <c r="M48" i="37"/>
  <c r="L59" i="36"/>
  <c r="N53" i="36"/>
  <c r="C20" i="36" s="1"/>
  <c r="AA16" i="2"/>
  <c r="N44" i="36"/>
  <c r="C11" i="36" s="1"/>
  <c r="AA7" i="2"/>
  <c r="N51" i="36"/>
  <c r="C18" i="36" s="1"/>
  <c r="AA14" i="2"/>
  <c r="N55" i="36"/>
  <c r="C22" i="36" s="1"/>
  <c r="AA18" i="2"/>
  <c r="AA15" i="2"/>
  <c r="N52" i="36"/>
  <c r="C19" i="36" s="1"/>
  <c r="N49" i="36"/>
  <c r="C16" i="36" s="1"/>
  <c r="AA12" i="2"/>
  <c r="N54" i="36"/>
  <c r="C21" i="36" s="1"/>
  <c r="AA17" i="2"/>
  <c r="N43" i="36"/>
  <c r="C10" i="36" s="1"/>
  <c r="AA6" i="2"/>
  <c r="N47" i="36"/>
  <c r="C14" i="36" s="1"/>
  <c r="AA10" i="2"/>
  <c r="N42" i="36"/>
  <c r="AA5" i="2"/>
  <c r="Z19" i="2"/>
  <c r="C4" i="2" s="1"/>
  <c r="AA13" i="2"/>
  <c r="N50" i="36"/>
  <c r="C17" i="36" s="1"/>
  <c r="N48" i="36"/>
  <c r="C15" i="36" s="1"/>
  <c r="AA11" i="2"/>
  <c r="L51" i="37"/>
  <c r="K42" i="38"/>
  <c r="M58" i="36"/>
  <c r="N46" i="36"/>
  <c r="C13" i="36" s="1"/>
  <c r="AA9" i="2"/>
  <c r="U25" i="21"/>
  <c r="U26" i="21" s="1"/>
  <c r="S43" i="37" s="1"/>
  <c r="E24" i="36"/>
  <c r="O42" i="36" l="1"/>
  <c r="AB5" i="2"/>
  <c r="AA19" i="2"/>
  <c r="AB15" i="2"/>
  <c r="O52" i="36"/>
  <c r="M59" i="36"/>
  <c r="N48" i="37"/>
  <c r="O53" i="36"/>
  <c r="AB16" i="2"/>
  <c r="O43" i="36"/>
  <c r="AB6" i="2"/>
  <c r="AB18" i="2"/>
  <c r="O55" i="36"/>
  <c r="M51" i="37"/>
  <c r="L42" i="38"/>
  <c r="O49" i="36"/>
  <c r="AB12" i="2"/>
  <c r="AB10" i="2"/>
  <c r="O47" i="36"/>
  <c r="AB11" i="2"/>
  <c r="O48" i="36"/>
  <c r="O46" i="36"/>
  <c r="AB9" i="2"/>
  <c r="O50" i="36"/>
  <c r="AB13" i="2"/>
  <c r="AB17" i="2"/>
  <c r="O54" i="36"/>
  <c r="AB14" i="2"/>
  <c r="O51" i="36"/>
  <c r="O45" i="36"/>
  <c r="AB8" i="2"/>
  <c r="AB7" i="2"/>
  <c r="O44" i="36"/>
  <c r="N58" i="36"/>
  <c r="C9" i="36"/>
  <c r="C25" i="36" s="1"/>
  <c r="V25" i="21"/>
  <c r="V26" i="21" s="1"/>
  <c r="T43" i="37" s="1"/>
  <c r="G24" i="36"/>
  <c r="F24" i="36"/>
  <c r="AC8" i="2" l="1"/>
  <c r="P45" i="36"/>
  <c r="P46" i="36"/>
  <c r="AC9" i="2"/>
  <c r="M42" i="38"/>
  <c r="N51" i="37"/>
  <c r="AC11" i="2"/>
  <c r="P48" i="36"/>
  <c r="F7" i="27"/>
  <c r="C8" i="45"/>
  <c r="AC18" i="2"/>
  <c r="P55" i="36"/>
  <c r="P52" i="36"/>
  <c r="AC15" i="2"/>
  <c r="AC6" i="2"/>
  <c r="P43" i="36"/>
  <c r="O48" i="37"/>
  <c r="N59" i="36"/>
  <c r="C26" i="36" s="1"/>
  <c r="AC17" i="2"/>
  <c r="P54" i="36"/>
  <c r="AC10" i="2"/>
  <c r="P47" i="36"/>
  <c r="AC13" i="2"/>
  <c r="P50" i="36"/>
  <c r="P49" i="36"/>
  <c r="AC12" i="2"/>
  <c r="P42" i="36"/>
  <c r="AC5" i="2"/>
  <c r="AB19" i="2"/>
  <c r="AC14" i="2"/>
  <c r="P51" i="36"/>
  <c r="AC7" i="2"/>
  <c r="P44" i="36"/>
  <c r="P53" i="36"/>
  <c r="AC16" i="2"/>
  <c r="O58" i="36"/>
  <c r="W25" i="21"/>
  <c r="W26" i="21" s="1"/>
  <c r="U43" i="37" s="1"/>
  <c r="C21" i="45" l="1"/>
  <c r="C22" i="45" s="1"/>
  <c r="C9" i="45"/>
  <c r="AD5" i="2"/>
  <c r="Q42" i="36"/>
  <c r="AC19" i="2"/>
  <c r="Q47" i="36"/>
  <c r="AD10" i="2"/>
  <c r="AD6" i="2"/>
  <c r="Q43" i="36"/>
  <c r="AD7" i="2"/>
  <c r="Q44" i="36"/>
  <c r="AD12" i="2"/>
  <c r="Q49" i="36"/>
  <c r="AD15" i="2"/>
  <c r="Q52" i="36"/>
  <c r="AD9" i="2"/>
  <c r="Q46" i="36"/>
  <c r="F12" i="27"/>
  <c r="F13" i="27" s="1"/>
  <c r="C21" i="27"/>
  <c r="C22" i="27"/>
  <c r="C23" i="27"/>
  <c r="C20" i="27"/>
  <c r="C28" i="27"/>
  <c r="C18" i="27"/>
  <c r="C26" i="27"/>
  <c r="C17" i="27"/>
  <c r="C27" i="27"/>
  <c r="C24" i="27"/>
  <c r="C19" i="27"/>
  <c r="C25" i="27"/>
  <c r="C29" i="27"/>
  <c r="AD17" i="2"/>
  <c r="Q54" i="36"/>
  <c r="AD11" i="2"/>
  <c r="Q48" i="36"/>
  <c r="AD14" i="2"/>
  <c r="Q51" i="36"/>
  <c r="P58" i="36"/>
  <c r="P48" i="37"/>
  <c r="O59" i="36"/>
  <c r="E11" i="46"/>
  <c r="E13" i="46" s="1"/>
  <c r="B5" i="43"/>
  <c r="Q53" i="36"/>
  <c r="AD16" i="2"/>
  <c r="AD13" i="2"/>
  <c r="Q50" i="36"/>
  <c r="N42" i="38"/>
  <c r="C13" i="38" s="1"/>
  <c r="O51" i="37"/>
  <c r="D18" i="37"/>
  <c r="Q55" i="36"/>
  <c r="AD18" i="2"/>
  <c r="AD8" i="2"/>
  <c r="Q45" i="36"/>
  <c r="X25" i="21"/>
  <c r="X26" i="21" s="1"/>
  <c r="V43" i="37" s="1"/>
  <c r="AE7" i="2" l="1"/>
  <c r="R44" i="36"/>
  <c r="AE9" i="2"/>
  <c r="R46" i="36"/>
  <c r="R47" i="36"/>
  <c r="AE10" i="2"/>
  <c r="AE17" i="2"/>
  <c r="R54" i="36"/>
  <c r="AE6" i="2"/>
  <c r="R43" i="36"/>
  <c r="Q48" i="37"/>
  <c r="P59" i="36"/>
  <c r="R52" i="36"/>
  <c r="AE15" i="2"/>
  <c r="P51" i="37"/>
  <c r="O42" i="38"/>
  <c r="AE13" i="2"/>
  <c r="R50" i="36"/>
  <c r="B9" i="43"/>
  <c r="AE11" i="2"/>
  <c r="R48" i="36"/>
  <c r="AE8" i="2"/>
  <c r="R45" i="36"/>
  <c r="AE14" i="2"/>
  <c r="R51" i="36"/>
  <c r="AE12" i="2"/>
  <c r="R49" i="36"/>
  <c r="Q58" i="36"/>
  <c r="R53" i="36"/>
  <c r="AE16" i="2"/>
  <c r="AE18" i="2"/>
  <c r="R55" i="36"/>
  <c r="AE5" i="2"/>
  <c r="R42" i="36"/>
  <c r="AD19" i="2"/>
  <c r="Y25" i="21"/>
  <c r="Y26" i="21" s="1"/>
  <c r="W43" i="37" s="1"/>
  <c r="AF12" i="2" l="1"/>
  <c r="S49" i="36"/>
  <c r="AF11" i="2"/>
  <c r="S48" i="36"/>
  <c r="AF17" i="2"/>
  <c r="S54" i="36"/>
  <c r="AF7" i="2"/>
  <c r="S44" i="36"/>
  <c r="AF18" i="2"/>
  <c r="S55" i="36"/>
  <c r="S51" i="36"/>
  <c r="AF14" i="2"/>
  <c r="AF15" i="2"/>
  <c r="S52" i="36"/>
  <c r="AF10" i="2"/>
  <c r="S47" i="36"/>
  <c r="AF16" i="2"/>
  <c r="S53" i="36"/>
  <c r="R58" i="36"/>
  <c r="AF8" i="2"/>
  <c r="S45" i="36"/>
  <c r="AF6" i="2"/>
  <c r="S43" i="36"/>
  <c r="AF5" i="2"/>
  <c r="S42" i="36"/>
  <c r="AE19" i="2"/>
  <c r="AF13" i="2"/>
  <c r="S50" i="36"/>
  <c r="P42" i="38"/>
  <c r="Q51" i="37"/>
  <c r="AF9" i="2"/>
  <c r="S46" i="36"/>
  <c r="R48" i="37"/>
  <c r="Q59" i="36"/>
  <c r="Z25" i="21"/>
  <c r="Z26" i="21" s="1"/>
  <c r="X43" i="37" s="1"/>
  <c r="AG16" i="2" l="1"/>
  <c r="T53" i="36"/>
  <c r="AG11" i="2"/>
  <c r="T48" i="36"/>
  <c r="AG5" i="2"/>
  <c r="T42" i="36"/>
  <c r="AF19" i="2"/>
  <c r="AG12" i="2"/>
  <c r="T49" i="36"/>
  <c r="AG9" i="2"/>
  <c r="T46" i="36"/>
  <c r="AG10" i="2"/>
  <c r="T47" i="36"/>
  <c r="AG6" i="2"/>
  <c r="T43" i="36"/>
  <c r="AG7" i="2"/>
  <c r="T44" i="36"/>
  <c r="S58" i="36"/>
  <c r="AG15" i="2"/>
  <c r="T52" i="36"/>
  <c r="Q42" i="38"/>
  <c r="R51" i="37"/>
  <c r="AG18" i="2"/>
  <c r="T55" i="36"/>
  <c r="AG8" i="2"/>
  <c r="T45" i="36"/>
  <c r="AG14" i="2"/>
  <c r="T51" i="36"/>
  <c r="AG17" i="2"/>
  <c r="T54" i="36"/>
  <c r="AG13" i="2"/>
  <c r="T50" i="36"/>
  <c r="R59" i="36"/>
  <c r="S48" i="37"/>
  <c r="AA25" i="21"/>
  <c r="AA26" i="21" s="1"/>
  <c r="Y43" i="37" s="1"/>
  <c r="U51" i="36" l="1"/>
  <c r="AH14" i="2"/>
  <c r="AH6" i="2"/>
  <c r="U43" i="36"/>
  <c r="AH10" i="2"/>
  <c r="U47" i="36"/>
  <c r="AH15" i="2"/>
  <c r="U52" i="36"/>
  <c r="U50" i="36"/>
  <c r="AH13" i="2"/>
  <c r="R42" i="38"/>
  <c r="S51" i="37"/>
  <c r="T58" i="36"/>
  <c r="T48" i="37"/>
  <c r="S59" i="36"/>
  <c r="AH9" i="2"/>
  <c r="U46" i="36"/>
  <c r="AH11" i="2"/>
  <c r="U48" i="36"/>
  <c r="AH12" i="2"/>
  <c r="U49" i="36"/>
  <c r="AH8" i="2"/>
  <c r="U45" i="36"/>
  <c r="AH18" i="2"/>
  <c r="U55" i="36"/>
  <c r="U42" i="36"/>
  <c r="AH5" i="2"/>
  <c r="AG19" i="2"/>
  <c r="AH17" i="2"/>
  <c r="U54" i="36"/>
  <c r="AH7" i="2"/>
  <c r="U44" i="36"/>
  <c r="AH16" i="2"/>
  <c r="U53" i="36"/>
  <c r="AB25" i="21"/>
  <c r="AB26" i="21" s="1"/>
  <c r="Z43" i="37" s="1"/>
  <c r="T59" i="36" l="1"/>
  <c r="U48" i="37"/>
  <c r="AI10" i="2"/>
  <c r="V47" i="36"/>
  <c r="AI17" i="2"/>
  <c r="V54" i="36"/>
  <c r="AI12" i="2"/>
  <c r="V49" i="36"/>
  <c r="AI13" i="2"/>
  <c r="V50" i="36"/>
  <c r="V45" i="36"/>
  <c r="AI8" i="2"/>
  <c r="V42" i="36"/>
  <c r="AI5" i="2"/>
  <c r="AH19" i="2"/>
  <c r="U58" i="36"/>
  <c r="V48" i="36"/>
  <c r="AI11" i="2"/>
  <c r="AI6" i="2"/>
  <c r="V43" i="36"/>
  <c r="V53" i="36"/>
  <c r="AI16" i="2"/>
  <c r="V51" i="36"/>
  <c r="AI14" i="2"/>
  <c r="AI18" i="2"/>
  <c r="V55" i="36"/>
  <c r="AI9" i="2"/>
  <c r="V46" i="36"/>
  <c r="T51" i="37"/>
  <c r="S42" i="38"/>
  <c r="AI7" i="2"/>
  <c r="V44" i="36"/>
  <c r="V52" i="36"/>
  <c r="AI15" i="2"/>
  <c r="AC25" i="21"/>
  <c r="AC26" i="21" s="1"/>
  <c r="AA43" i="37" s="1"/>
  <c r="E23" i="37"/>
  <c r="D17" i="38"/>
  <c r="V48" i="37" l="1"/>
  <c r="U59" i="36"/>
  <c r="V58" i="36"/>
  <c r="AJ14" i="2"/>
  <c r="W51" i="36"/>
  <c r="AJ17" i="2"/>
  <c r="W54" i="36"/>
  <c r="W46" i="36"/>
  <c r="AJ9" i="2"/>
  <c r="AJ6" i="2"/>
  <c r="W43" i="36"/>
  <c r="AJ10" i="2"/>
  <c r="W47" i="36"/>
  <c r="AJ7" i="2"/>
  <c r="W44" i="36"/>
  <c r="AJ12" i="2"/>
  <c r="W49" i="36"/>
  <c r="AJ16" i="2"/>
  <c r="W53" i="36"/>
  <c r="AJ8" i="2"/>
  <c r="W45" i="36"/>
  <c r="AJ15" i="2"/>
  <c r="W52" i="36"/>
  <c r="AJ11" i="2"/>
  <c r="W48" i="36"/>
  <c r="T42" i="38"/>
  <c r="U51" i="37"/>
  <c r="W42" i="36"/>
  <c r="AJ5" i="2"/>
  <c r="AI19" i="2"/>
  <c r="W55" i="36"/>
  <c r="AJ18" i="2"/>
  <c r="AJ13" i="2"/>
  <c r="W50" i="36"/>
  <c r="AD25" i="21"/>
  <c r="AD26" i="21" s="1"/>
  <c r="AB43" i="37" s="1"/>
  <c r="E13" i="37"/>
  <c r="X52" i="36" l="1"/>
  <c r="AK15" i="2"/>
  <c r="X42" i="36"/>
  <c r="AK5" i="2"/>
  <c r="AJ19" i="2"/>
  <c r="AK8" i="2"/>
  <c r="X45" i="36"/>
  <c r="AK14" i="2"/>
  <c r="X51" i="36"/>
  <c r="X54" i="36"/>
  <c r="AK17" i="2"/>
  <c r="W58" i="36"/>
  <c r="AK10" i="2"/>
  <c r="X47" i="36"/>
  <c r="AK16" i="2"/>
  <c r="X53" i="36"/>
  <c r="X43" i="36"/>
  <c r="AK6" i="2"/>
  <c r="W48" i="37"/>
  <c r="V59" i="36"/>
  <c r="AK7" i="2"/>
  <c r="X44" i="36"/>
  <c r="X50" i="36"/>
  <c r="AK13" i="2"/>
  <c r="AK9" i="2"/>
  <c r="X46" i="36"/>
  <c r="AK18" i="2"/>
  <c r="X55" i="36"/>
  <c r="AK11" i="2"/>
  <c r="X48" i="36"/>
  <c r="AK12" i="2"/>
  <c r="X49" i="36"/>
  <c r="U42" i="38"/>
  <c r="V51" i="37"/>
  <c r="AE25" i="21"/>
  <c r="AE26" i="21" s="1"/>
  <c r="AC43" i="37" s="1"/>
  <c r="AL11" i="2" l="1"/>
  <c r="Y48" i="36"/>
  <c r="Y42" i="36"/>
  <c r="AL5" i="2"/>
  <c r="AK19" i="2"/>
  <c r="Y54" i="36"/>
  <c r="AL17" i="2"/>
  <c r="X58" i="36"/>
  <c r="AL12" i="2"/>
  <c r="Y49" i="36"/>
  <c r="Y47" i="36"/>
  <c r="AL10" i="2"/>
  <c r="W51" i="37"/>
  <c r="V42" i="38"/>
  <c r="Y43" i="36"/>
  <c r="AL6" i="2"/>
  <c r="AL15" i="2"/>
  <c r="Y52" i="36"/>
  <c r="AL13" i="2"/>
  <c r="Y50" i="36"/>
  <c r="Y51" i="36"/>
  <c r="AL14" i="2"/>
  <c r="AL16" i="2"/>
  <c r="Y53" i="36"/>
  <c r="AL8" i="2"/>
  <c r="Y45" i="36"/>
  <c r="AL7" i="2"/>
  <c r="Y44" i="36"/>
  <c r="X48" i="37"/>
  <c r="W59" i="36"/>
  <c r="AL18" i="2"/>
  <c r="Y55" i="36"/>
  <c r="AL9" i="2"/>
  <c r="Y46" i="36"/>
  <c r="AF25" i="21"/>
  <c r="AF26" i="21" s="1"/>
  <c r="AD43" i="37" s="1"/>
  <c r="Z55" i="36" l="1"/>
  <c r="D22" i="36" s="1"/>
  <c r="AM18" i="2"/>
  <c r="Z53" i="36"/>
  <c r="D20" i="36" s="1"/>
  <c r="AM16" i="2"/>
  <c r="AM5" i="2"/>
  <c r="Z42" i="36"/>
  <c r="AL19" i="2"/>
  <c r="D4" i="2" s="1"/>
  <c r="AM17" i="2"/>
  <c r="Z54" i="36"/>
  <c r="D21" i="36" s="1"/>
  <c r="X51" i="37"/>
  <c r="W42" i="38"/>
  <c r="Y58" i="36"/>
  <c r="Z43" i="36"/>
  <c r="D10" i="36" s="1"/>
  <c r="AM6" i="2"/>
  <c r="Z51" i="36"/>
  <c r="D18" i="36" s="1"/>
  <c r="AM14" i="2"/>
  <c r="X59" i="36"/>
  <c r="Y48" i="37"/>
  <c r="Z47" i="36"/>
  <c r="D14" i="36" s="1"/>
  <c r="AM10" i="2"/>
  <c r="Z44" i="36"/>
  <c r="D11" i="36" s="1"/>
  <c r="AM7" i="2"/>
  <c r="AM13" i="2"/>
  <c r="Z50" i="36"/>
  <c r="D17" i="36" s="1"/>
  <c r="Z46" i="36"/>
  <c r="D13" i="36" s="1"/>
  <c r="AM9" i="2"/>
  <c r="Z45" i="36"/>
  <c r="D12" i="36" s="1"/>
  <c r="AM8" i="2"/>
  <c r="Z52" i="36"/>
  <c r="D19" i="36" s="1"/>
  <c r="AM15" i="2"/>
  <c r="Z49" i="36"/>
  <c r="D16" i="36" s="1"/>
  <c r="AM12" i="2"/>
  <c r="Z48" i="36"/>
  <c r="D15" i="36" s="1"/>
  <c r="AM11" i="2"/>
  <c r="AG25" i="21"/>
  <c r="AG26" i="21" s="1"/>
  <c r="AE43" i="37" s="1"/>
  <c r="AN12" i="2" l="1"/>
  <c r="AA49" i="36"/>
  <c r="AN17" i="2"/>
  <c r="AA54" i="36"/>
  <c r="AN7" i="2"/>
  <c r="AA44" i="36"/>
  <c r="AA43" i="36"/>
  <c r="AN6" i="2"/>
  <c r="Z58" i="36"/>
  <c r="D9" i="36"/>
  <c r="D25" i="36" s="1"/>
  <c r="D8" i="45" s="1"/>
  <c r="AN5" i="2"/>
  <c r="AA42" i="36"/>
  <c r="AM19" i="2"/>
  <c r="AN15" i="2"/>
  <c r="AA52" i="36"/>
  <c r="AN8" i="2"/>
  <c r="AA45" i="36"/>
  <c r="Z48" i="37"/>
  <c r="Y59" i="36"/>
  <c r="AA53" i="36"/>
  <c r="AN16" i="2"/>
  <c r="AN13" i="2"/>
  <c r="AA50" i="36"/>
  <c r="AN10" i="2"/>
  <c r="AA47" i="36"/>
  <c r="AN14" i="2"/>
  <c r="AA51" i="36"/>
  <c r="AN11" i="2"/>
  <c r="AA48" i="36"/>
  <c r="AA46" i="36"/>
  <c r="AN9" i="2"/>
  <c r="Y51" i="37"/>
  <c r="X42" i="38"/>
  <c r="AN18" i="2"/>
  <c r="AA55" i="36"/>
  <c r="AH25" i="21"/>
  <c r="AH26" i="21" s="1"/>
  <c r="AF43" i="37" s="1"/>
  <c r="C16" i="38"/>
  <c r="AO10" i="2" l="1"/>
  <c r="AB47" i="36"/>
  <c r="AO6" i="2"/>
  <c r="AB43" i="36"/>
  <c r="AO7" i="2"/>
  <c r="AB44" i="36"/>
  <c r="AO15" i="2"/>
  <c r="AB52" i="36"/>
  <c r="AO11" i="2"/>
  <c r="AB48" i="36"/>
  <c r="AA58" i="36"/>
  <c r="AB54" i="36"/>
  <c r="AO17" i="2"/>
  <c r="AB45" i="36"/>
  <c r="AO8" i="2"/>
  <c r="AB53" i="36"/>
  <c r="AO16" i="2"/>
  <c r="Y42" i="38"/>
  <c r="Z51" i="37"/>
  <c r="D21" i="45"/>
  <c r="D22" i="45" s="1"/>
  <c r="D9" i="45"/>
  <c r="AO9" i="2"/>
  <c r="AB46" i="36"/>
  <c r="AO13" i="2"/>
  <c r="AB50" i="36"/>
  <c r="AO5" i="2"/>
  <c r="AB42" i="36"/>
  <c r="AN19" i="2"/>
  <c r="AO18" i="2"/>
  <c r="AB55" i="36"/>
  <c r="AO14" i="2"/>
  <c r="AB51" i="36"/>
  <c r="AA48" i="37"/>
  <c r="Z59" i="36"/>
  <c r="D26" i="36" s="1"/>
  <c r="AO12" i="2"/>
  <c r="AB49" i="36"/>
  <c r="AI25" i="21"/>
  <c r="AI26" i="21" s="1"/>
  <c r="AG43" i="37" s="1"/>
  <c r="F11" i="46" l="1"/>
  <c r="C5" i="43"/>
  <c r="AB58" i="36"/>
  <c r="Z42" i="38"/>
  <c r="D13" i="38" s="1"/>
  <c r="AA51" i="37"/>
  <c r="E18" i="37"/>
  <c r="AP7" i="2"/>
  <c r="AC44" i="36"/>
  <c r="AP11" i="2"/>
  <c r="AC48" i="36"/>
  <c r="AP9" i="2"/>
  <c r="AC46" i="36"/>
  <c r="AC51" i="36"/>
  <c r="AP14" i="2"/>
  <c r="AC43" i="36"/>
  <c r="AP6" i="2"/>
  <c r="AA59" i="36"/>
  <c r="AB48" i="37"/>
  <c r="AC45" i="36"/>
  <c r="AP8" i="2"/>
  <c r="AP13" i="2"/>
  <c r="AC50" i="36"/>
  <c r="AP5" i="2"/>
  <c r="AC42" i="36"/>
  <c r="AO19" i="2"/>
  <c r="AP17" i="2"/>
  <c r="AC54" i="36"/>
  <c r="AP12" i="2"/>
  <c r="AC49" i="36"/>
  <c r="AC55" i="36"/>
  <c r="AP18" i="2"/>
  <c r="AP16" i="2"/>
  <c r="AC53" i="36"/>
  <c r="AP15" i="2"/>
  <c r="AC52" i="36"/>
  <c r="AP10" i="2"/>
  <c r="AC47" i="36"/>
  <c r="AJ25" i="21"/>
  <c r="AJ26" i="21" s="1"/>
  <c r="AH43" i="37" s="1"/>
  <c r="AB51" i="37" l="1"/>
  <c r="AA42" i="38"/>
  <c r="AD48" i="36"/>
  <c r="AQ11" i="2"/>
  <c r="F13" i="46"/>
  <c r="AD54" i="36"/>
  <c r="AQ17" i="2"/>
  <c r="AQ16" i="2"/>
  <c r="AD53" i="36"/>
  <c r="AC58" i="36"/>
  <c r="AQ6" i="2"/>
  <c r="AD43" i="36"/>
  <c r="AD44" i="36"/>
  <c r="AQ7" i="2"/>
  <c r="AQ15" i="2"/>
  <c r="AD52" i="36"/>
  <c r="AQ5" i="2"/>
  <c r="AD42" i="36"/>
  <c r="AP19" i="2"/>
  <c r="AQ14" i="2"/>
  <c r="AD51" i="36"/>
  <c r="C9" i="43"/>
  <c r="AQ13" i="2"/>
  <c r="AD50" i="36"/>
  <c r="AQ18" i="2"/>
  <c r="AD55" i="36"/>
  <c r="AQ10" i="2"/>
  <c r="AD47" i="36"/>
  <c r="AQ12" i="2"/>
  <c r="AD49" i="36"/>
  <c r="AQ8" i="2"/>
  <c r="AD45" i="36"/>
  <c r="AQ9" i="2"/>
  <c r="AD46" i="36"/>
  <c r="AC48" i="37"/>
  <c r="AB59" i="36"/>
  <c r="AK25" i="21"/>
  <c r="AK26" i="21" s="1"/>
  <c r="AI43" i="37" s="1"/>
  <c r="AE54" i="36" l="1"/>
  <c r="AR17" i="2"/>
  <c r="AB42" i="38"/>
  <c r="AC51" i="37"/>
  <c r="AR12" i="2"/>
  <c r="AE49" i="36"/>
  <c r="AR7" i="2"/>
  <c r="AE44" i="36"/>
  <c r="AE43" i="36"/>
  <c r="AR6" i="2"/>
  <c r="AE53" i="36"/>
  <c r="AR16" i="2"/>
  <c r="AE50" i="36"/>
  <c r="AR13" i="2"/>
  <c r="AR9" i="2"/>
  <c r="AE46" i="36"/>
  <c r="AR10" i="2"/>
  <c r="AE47" i="36"/>
  <c r="AR5" i="2"/>
  <c r="AE42" i="36"/>
  <c r="AQ19" i="2"/>
  <c r="AE48" i="36"/>
  <c r="AR11" i="2"/>
  <c r="AD48" i="37"/>
  <c r="AC59" i="36"/>
  <c r="AE45" i="36"/>
  <c r="AR8" i="2"/>
  <c r="AR14" i="2"/>
  <c r="AE51" i="36"/>
  <c r="AD58" i="36"/>
  <c r="AE55" i="36"/>
  <c r="AR18" i="2"/>
  <c r="AR15" i="2"/>
  <c r="AE52" i="36"/>
  <c r="AL25" i="21"/>
  <c r="AL26" i="21" s="1"/>
  <c r="AJ43" i="37" s="1"/>
  <c r="AE58" i="36" l="1"/>
  <c r="AS16" i="2"/>
  <c r="AF53" i="36"/>
  <c r="AS6" i="2"/>
  <c r="AF43" i="36"/>
  <c r="AS5" i="2"/>
  <c r="AF42" i="36"/>
  <c r="AR19" i="2"/>
  <c r="AS10" i="2"/>
  <c r="AF47" i="36"/>
  <c r="AS12" i="2"/>
  <c r="AF49" i="36"/>
  <c r="AS14" i="2"/>
  <c r="AF51" i="36"/>
  <c r="AC42" i="38"/>
  <c r="AD51" i="37"/>
  <c r="AS17" i="2"/>
  <c r="AF54" i="36"/>
  <c r="AS8" i="2"/>
  <c r="AF45" i="36"/>
  <c r="AS15" i="2"/>
  <c r="AF52" i="36"/>
  <c r="AS18" i="2"/>
  <c r="AF55" i="36"/>
  <c r="AF48" i="36"/>
  <c r="AS11" i="2"/>
  <c r="AS9" i="2"/>
  <c r="AF46" i="36"/>
  <c r="AS7" i="2"/>
  <c r="AF44" i="36"/>
  <c r="AE48" i="37"/>
  <c r="AD59" i="36"/>
  <c r="AS13" i="2"/>
  <c r="AF50" i="36"/>
  <c r="AM25" i="21"/>
  <c r="AM26" i="21" s="1"/>
  <c r="AK43" i="37" s="1"/>
  <c r="AG45" i="36" l="1"/>
  <c r="AT8" i="2"/>
  <c r="AT11" i="2"/>
  <c r="AG48" i="36"/>
  <c r="AT13" i="2"/>
  <c r="AG50" i="36"/>
  <c r="AG54" i="36"/>
  <c r="AT17" i="2"/>
  <c r="AG53" i="36"/>
  <c r="AT16" i="2"/>
  <c r="AT10" i="2"/>
  <c r="AG47" i="36"/>
  <c r="AF48" i="37"/>
  <c r="AE59" i="36"/>
  <c r="AT6" i="2"/>
  <c r="AG43" i="36"/>
  <c r="AD42" i="38"/>
  <c r="AE51" i="37"/>
  <c r="AT18" i="2"/>
  <c r="AG55" i="36"/>
  <c r="AT9" i="2"/>
  <c r="AG46" i="36"/>
  <c r="AT12" i="2"/>
  <c r="AG49" i="36"/>
  <c r="AF58" i="36"/>
  <c r="AT7" i="2"/>
  <c r="AG44" i="36"/>
  <c r="AG52" i="36"/>
  <c r="AT15" i="2"/>
  <c r="AT14" i="2"/>
  <c r="AG51" i="36"/>
  <c r="AG42" i="36"/>
  <c r="AT5" i="2"/>
  <c r="AS19" i="2"/>
  <c r="AN25" i="21"/>
  <c r="AN26" i="21" s="1"/>
  <c r="AL43" i="37" s="1"/>
  <c r="AH52" i="36" l="1"/>
  <c r="AU15" i="2"/>
  <c r="AF51" i="37"/>
  <c r="AE42" i="38"/>
  <c r="AU18" i="2"/>
  <c r="AH55" i="36"/>
  <c r="AU10" i="2"/>
  <c r="AH47" i="36"/>
  <c r="AU11" i="2"/>
  <c r="AH48" i="36"/>
  <c r="AU12" i="2"/>
  <c r="AH49" i="36"/>
  <c r="AU7" i="2"/>
  <c r="AH44" i="36"/>
  <c r="AU16" i="2"/>
  <c r="AH53" i="36"/>
  <c r="AH45" i="36"/>
  <c r="AU8" i="2"/>
  <c r="AU13" i="2"/>
  <c r="AH50" i="36"/>
  <c r="AF59" i="36"/>
  <c r="AG48" i="37"/>
  <c r="AH43" i="36"/>
  <c r="AU6" i="2"/>
  <c r="AU14" i="2"/>
  <c r="AH51" i="36"/>
  <c r="AU9" i="2"/>
  <c r="AH46" i="36"/>
  <c r="AU5" i="2"/>
  <c r="AH42" i="36"/>
  <c r="AT19" i="2"/>
  <c r="AG58" i="36"/>
  <c r="AH54" i="36"/>
  <c r="AU17" i="2"/>
  <c r="AO25" i="21"/>
  <c r="AO26" i="21" s="1"/>
  <c r="AM43" i="37" s="1"/>
  <c r="F23" i="37"/>
  <c r="E17" i="38"/>
  <c r="AI42" i="36" l="1"/>
  <c r="AV5" i="2"/>
  <c r="AU19" i="2"/>
  <c r="AH48" i="37"/>
  <c r="AG59" i="36"/>
  <c r="AV6" i="2"/>
  <c r="AI43" i="36"/>
  <c r="AV16" i="2"/>
  <c r="AI53" i="36"/>
  <c r="AV10" i="2"/>
  <c r="AI47" i="36"/>
  <c r="AI44" i="36"/>
  <c r="AV7" i="2"/>
  <c r="AF42" i="38"/>
  <c r="AG51" i="37"/>
  <c r="AI55" i="36"/>
  <c r="AV18" i="2"/>
  <c r="AV9" i="2"/>
  <c r="AI46" i="36"/>
  <c r="AV12" i="2"/>
  <c r="AI49" i="36"/>
  <c r="AV17" i="2"/>
  <c r="AI54" i="36"/>
  <c r="AV8" i="2"/>
  <c r="AI45" i="36"/>
  <c r="AV15" i="2"/>
  <c r="AI52" i="36"/>
  <c r="AH58" i="36"/>
  <c r="AV13" i="2"/>
  <c r="AI50" i="36"/>
  <c r="AV14" i="2"/>
  <c r="AI51" i="36"/>
  <c r="AI48" i="36"/>
  <c r="AV11" i="2"/>
  <c r="AP25" i="21"/>
  <c r="AP26" i="21" s="1"/>
  <c r="AN43" i="37" s="1"/>
  <c r="F13" i="37"/>
  <c r="AW13" i="2" l="1"/>
  <c r="AJ50" i="36"/>
  <c r="AW16" i="2"/>
  <c r="AJ53" i="36"/>
  <c r="AW17" i="2"/>
  <c r="AJ54" i="36"/>
  <c r="AW8" i="2"/>
  <c r="AJ45" i="36"/>
  <c r="AW6" i="2"/>
  <c r="AJ43" i="36"/>
  <c r="AI48" i="37"/>
  <c r="AH59" i="36"/>
  <c r="AW12" i="2"/>
  <c r="AJ49" i="36"/>
  <c r="AW11" i="2"/>
  <c r="AJ48" i="36"/>
  <c r="AJ52" i="36"/>
  <c r="AW15" i="2"/>
  <c r="AW9" i="2"/>
  <c r="AJ46" i="36"/>
  <c r="AW10" i="2"/>
  <c r="AJ47" i="36"/>
  <c r="AW5" i="2"/>
  <c r="AJ42" i="36"/>
  <c r="AV19" i="2"/>
  <c r="AJ51" i="36"/>
  <c r="AW14" i="2"/>
  <c r="AW7" i="2"/>
  <c r="AJ44" i="36"/>
  <c r="AG42" i="38"/>
  <c r="AH51" i="37"/>
  <c r="AW18" i="2"/>
  <c r="AJ55" i="36"/>
  <c r="AI58" i="36"/>
  <c r="AQ25" i="21"/>
  <c r="AQ26" i="21" s="1"/>
  <c r="AO43" i="37" s="1"/>
  <c r="AJ58" i="36" l="1"/>
  <c r="AK48" i="37" s="1"/>
  <c r="AX11" i="2"/>
  <c r="AK48" i="36"/>
  <c r="AX12" i="2"/>
  <c r="AK49" i="36"/>
  <c r="AX10" i="2"/>
  <c r="AK47" i="36"/>
  <c r="AX8" i="2"/>
  <c r="AK45" i="36"/>
  <c r="AX17" i="2"/>
  <c r="AK54" i="36"/>
  <c r="AX14" i="2"/>
  <c r="AK51" i="36"/>
  <c r="AX9" i="2"/>
  <c r="AK46" i="36"/>
  <c r="AH42" i="38"/>
  <c r="AI51" i="37"/>
  <c r="AX16" i="2"/>
  <c r="AK53" i="36"/>
  <c r="AX18" i="2"/>
  <c r="AK55" i="36"/>
  <c r="AX5" i="2"/>
  <c r="AK42" i="36"/>
  <c r="AW19" i="2"/>
  <c r="AX7" i="2"/>
  <c r="AK44" i="36"/>
  <c r="AI59" i="36"/>
  <c r="AJ48" i="37"/>
  <c r="AX15" i="2"/>
  <c r="AK52" i="36"/>
  <c r="AX6" i="2"/>
  <c r="AK43" i="36"/>
  <c r="AK50" i="36"/>
  <c r="AX13" i="2"/>
  <c r="AR25" i="21"/>
  <c r="AR26" i="21" s="1"/>
  <c r="AP43" i="37" s="1"/>
  <c r="AJ59" i="36" l="1"/>
  <c r="AL43" i="36"/>
  <c r="E10" i="36" s="1"/>
  <c r="AY6" i="2"/>
  <c r="AL46" i="36"/>
  <c r="E13" i="36" s="1"/>
  <c r="AY9" i="2"/>
  <c r="AL47" i="36"/>
  <c r="E14" i="36" s="1"/>
  <c r="AY10" i="2"/>
  <c r="AL45" i="36"/>
  <c r="E12" i="36" s="1"/>
  <c r="AY8" i="2"/>
  <c r="AL52" i="36"/>
  <c r="E19" i="36" s="1"/>
  <c r="AY15" i="2"/>
  <c r="AJ51" i="37"/>
  <c r="AI42" i="38"/>
  <c r="AY13" i="2"/>
  <c r="AL50" i="36"/>
  <c r="E17" i="36" s="1"/>
  <c r="AY18" i="2"/>
  <c r="AL55" i="36"/>
  <c r="E22" i="36" s="1"/>
  <c r="AL51" i="36"/>
  <c r="E18" i="36" s="1"/>
  <c r="AY14" i="2"/>
  <c r="AY12" i="2"/>
  <c r="AL49" i="36"/>
  <c r="E16" i="36" s="1"/>
  <c r="AK58" i="36"/>
  <c r="AL42" i="36"/>
  <c r="AY5" i="2"/>
  <c r="AX19" i="2"/>
  <c r="E4" i="2" s="1"/>
  <c r="AK51" i="37"/>
  <c r="AJ42" i="38"/>
  <c r="AY7" i="2"/>
  <c r="AL44" i="36"/>
  <c r="E11" i="36" s="1"/>
  <c r="AL53" i="36"/>
  <c r="E20" i="36" s="1"/>
  <c r="AY16" i="2"/>
  <c r="AY17" i="2"/>
  <c r="AL54" i="36"/>
  <c r="E21" i="36" s="1"/>
  <c r="AL48" i="36"/>
  <c r="E15" i="36" s="1"/>
  <c r="AY11" i="2"/>
  <c r="AS25" i="21"/>
  <c r="AS26" i="21" s="1"/>
  <c r="AQ43" i="37" s="1"/>
  <c r="AZ18" i="2" l="1"/>
  <c r="AM55" i="36"/>
  <c r="AZ16" i="2"/>
  <c r="AM53" i="36"/>
  <c r="AL58" i="36"/>
  <c r="E9" i="36"/>
  <c r="E25" i="36" s="1"/>
  <c r="E8" i="45" s="1"/>
  <c r="AM47" i="36"/>
  <c r="AZ10" i="2"/>
  <c r="AZ8" i="2"/>
  <c r="AM45" i="36"/>
  <c r="AL48" i="37"/>
  <c r="AK59" i="36"/>
  <c r="AZ9" i="2"/>
  <c r="AM46" i="36"/>
  <c r="AM42" i="36"/>
  <c r="AZ5" i="2"/>
  <c r="AY19" i="2"/>
  <c r="AM44" i="36"/>
  <c r="AZ7" i="2"/>
  <c r="AZ17" i="2"/>
  <c r="AM54" i="36"/>
  <c r="AZ12" i="2"/>
  <c r="AM49" i="36"/>
  <c r="AM48" i="36"/>
  <c r="AZ11" i="2"/>
  <c r="AM51" i="36"/>
  <c r="AZ14" i="2"/>
  <c r="AM52" i="36"/>
  <c r="AZ15" i="2"/>
  <c r="AZ6" i="2"/>
  <c r="AM43" i="36"/>
  <c r="AZ13" i="2"/>
  <c r="AM50" i="36"/>
  <c r="AT25" i="21"/>
  <c r="AT26" i="21" s="1"/>
  <c r="AR43" i="37" s="1"/>
  <c r="BA10" i="2" l="1"/>
  <c r="AN47" i="36"/>
  <c r="AN43" i="36"/>
  <c r="BA6" i="2"/>
  <c r="BA12" i="2"/>
  <c r="AN49" i="36"/>
  <c r="E9" i="45"/>
  <c r="E21" i="45"/>
  <c r="E22" i="45" s="1"/>
  <c r="BA15" i="2"/>
  <c r="AN52" i="36"/>
  <c r="BA13" i="2"/>
  <c r="AN50" i="36"/>
  <c r="AM58" i="36"/>
  <c r="AN46" i="36"/>
  <c r="BA9" i="2"/>
  <c r="BA17" i="2"/>
  <c r="AN54" i="36"/>
  <c r="AN44" i="36"/>
  <c r="BA7" i="2"/>
  <c r="AK42" i="38"/>
  <c r="AL51" i="37"/>
  <c r="BA16" i="2"/>
  <c r="AN53" i="36"/>
  <c r="BA5" i="2"/>
  <c r="AN42" i="36"/>
  <c r="AZ19" i="2"/>
  <c r="AM48" i="37"/>
  <c r="AL59" i="36"/>
  <c r="E26" i="36" s="1"/>
  <c r="BA14" i="2"/>
  <c r="AN51" i="36"/>
  <c r="AN48" i="36"/>
  <c r="BA11" i="2"/>
  <c r="BA8" i="2"/>
  <c r="AN45" i="36"/>
  <c r="BA18" i="2"/>
  <c r="AN55" i="36"/>
  <c r="AU25" i="21"/>
  <c r="AU26" i="21" s="1"/>
  <c r="AS43" i="37" s="1"/>
  <c r="BB6" i="2" l="1"/>
  <c r="AO43" i="36"/>
  <c r="AO49" i="36"/>
  <c r="BB12" i="2"/>
  <c r="BB5" i="2"/>
  <c r="AO42" i="36"/>
  <c r="BA19" i="2"/>
  <c r="BB11" i="2"/>
  <c r="AO48" i="36"/>
  <c r="BB9" i="2"/>
  <c r="AO46" i="36"/>
  <c r="AO50" i="36"/>
  <c r="BB13" i="2"/>
  <c r="BB8" i="2"/>
  <c r="AO45" i="36"/>
  <c r="BB17" i="2"/>
  <c r="AO54" i="36"/>
  <c r="AL42" i="38"/>
  <c r="E13" i="38" s="1"/>
  <c r="AM51" i="37"/>
  <c r="F18" i="37"/>
  <c r="BB16" i="2"/>
  <c r="AO53" i="36"/>
  <c r="BB15" i="2"/>
  <c r="AO52" i="36"/>
  <c r="BB10" i="2"/>
  <c r="AO47" i="36"/>
  <c r="AN48" i="37"/>
  <c r="AM59" i="36"/>
  <c r="BB14" i="2"/>
  <c r="AO51" i="36"/>
  <c r="AN58" i="36"/>
  <c r="G11" i="46"/>
  <c r="D5" i="43"/>
  <c r="AO55" i="36"/>
  <c r="BB18" i="2"/>
  <c r="AO44" i="36"/>
  <c r="BB7" i="2"/>
  <c r="AV25" i="21"/>
  <c r="AV26" i="21" s="1"/>
  <c r="AT43" i="37" s="1"/>
  <c r="AP51" i="36" l="1"/>
  <c r="BC14" i="2"/>
  <c r="BC13" i="2"/>
  <c r="AP50" i="36"/>
  <c r="BC5" i="2"/>
  <c r="AP42" i="36"/>
  <c r="BB19" i="2"/>
  <c r="BC7" i="2"/>
  <c r="AP44" i="36"/>
  <c r="AM42" i="38"/>
  <c r="AN51" i="37"/>
  <c r="AP46" i="36"/>
  <c r="BC9" i="2"/>
  <c r="D9" i="43"/>
  <c r="BC10" i="2"/>
  <c r="AP47" i="36"/>
  <c r="BC6" i="2"/>
  <c r="AP43" i="36"/>
  <c r="BC12" i="2"/>
  <c r="AP49" i="36"/>
  <c r="BC11" i="2"/>
  <c r="AP48" i="36"/>
  <c r="AP55" i="36"/>
  <c r="BC18" i="2"/>
  <c r="G13" i="46"/>
  <c r="BC17" i="2"/>
  <c r="AP54" i="36"/>
  <c r="AO48" i="37"/>
  <c r="AN59" i="36"/>
  <c r="BC15" i="2"/>
  <c r="AP52" i="36"/>
  <c r="BC16" i="2"/>
  <c r="AP53" i="36"/>
  <c r="AP45" i="36"/>
  <c r="BC8" i="2"/>
  <c r="AO58" i="36"/>
  <c r="AW25" i="21"/>
  <c r="AW26" i="21" s="1"/>
  <c r="AU43" i="37" s="1"/>
  <c r="AQ54" i="36" l="1"/>
  <c r="BD17" i="2"/>
  <c r="BD5" i="2"/>
  <c r="AQ42" i="36"/>
  <c r="BC19" i="2"/>
  <c r="BD18" i="2"/>
  <c r="AQ55" i="36"/>
  <c r="BD6" i="2"/>
  <c r="AQ43" i="36"/>
  <c r="BD12" i="2"/>
  <c r="AQ49" i="36"/>
  <c r="BD9" i="2"/>
  <c r="AQ46" i="36"/>
  <c r="AQ53" i="36"/>
  <c r="BD16" i="2"/>
  <c r="BD15" i="2"/>
  <c r="AQ52" i="36"/>
  <c r="BD13" i="2"/>
  <c r="AQ50" i="36"/>
  <c r="BD14" i="2"/>
  <c r="AQ51" i="36"/>
  <c r="AP58" i="36"/>
  <c r="AO59" i="36"/>
  <c r="AP48" i="37"/>
  <c r="BD10" i="2"/>
  <c r="AQ47" i="36"/>
  <c r="BD8" i="2"/>
  <c r="AQ45" i="36"/>
  <c r="AO51" i="37"/>
  <c r="AN42" i="38"/>
  <c r="BD11" i="2"/>
  <c r="AQ48" i="36"/>
  <c r="BD7" i="2"/>
  <c r="AQ44" i="36"/>
  <c r="AX25" i="21"/>
  <c r="AX26" i="21" s="1"/>
  <c r="AV43" i="37" s="1"/>
  <c r="AR42" i="36" l="1"/>
  <c r="BE5" i="2"/>
  <c r="BD19" i="2"/>
  <c r="AR44" i="36"/>
  <c r="BE7" i="2"/>
  <c r="AR52" i="36"/>
  <c r="BE15" i="2"/>
  <c r="BE6" i="2"/>
  <c r="AR43" i="36"/>
  <c r="BE10" i="2"/>
  <c r="AR47" i="36"/>
  <c r="BE12" i="2"/>
  <c r="AR49" i="36"/>
  <c r="BE11" i="2"/>
  <c r="AR48" i="36"/>
  <c r="BE17" i="2"/>
  <c r="AR54" i="36"/>
  <c r="AQ48" i="37"/>
  <c r="AP59" i="36"/>
  <c r="BE16" i="2"/>
  <c r="AR53" i="36"/>
  <c r="BE8" i="2"/>
  <c r="AR45" i="36"/>
  <c r="AO42" i="38"/>
  <c r="AP51" i="37"/>
  <c r="BE14" i="2"/>
  <c r="AR51" i="36"/>
  <c r="BE18" i="2"/>
  <c r="AR55" i="36"/>
  <c r="BE13" i="2"/>
  <c r="AR50" i="36"/>
  <c r="AR46" i="36"/>
  <c r="BE9" i="2"/>
  <c r="AQ58" i="36"/>
  <c r="AY25" i="21"/>
  <c r="AY26" i="21" s="1"/>
  <c r="AW43" i="37" s="1"/>
  <c r="BF15" i="2" l="1"/>
  <c r="AS52" i="36"/>
  <c r="BF17" i="2"/>
  <c r="AS54" i="36"/>
  <c r="AR48" i="37"/>
  <c r="AQ59" i="36"/>
  <c r="AS44" i="36"/>
  <c r="BF7" i="2"/>
  <c r="BF16" i="2"/>
  <c r="AS53" i="36"/>
  <c r="BF6" i="2"/>
  <c r="AS43" i="36"/>
  <c r="AS48" i="36"/>
  <c r="BF11" i="2"/>
  <c r="AS55" i="36"/>
  <c r="BF18" i="2"/>
  <c r="BF9" i="2"/>
  <c r="AS46" i="36"/>
  <c r="AP42" i="38"/>
  <c r="AQ51" i="37"/>
  <c r="BF10" i="2"/>
  <c r="AS47" i="36"/>
  <c r="BF5" i="2"/>
  <c r="AS42" i="36"/>
  <c r="BE19" i="2"/>
  <c r="BF8" i="2"/>
  <c r="AS45" i="36"/>
  <c r="BF14" i="2"/>
  <c r="AS51" i="36"/>
  <c r="BF12" i="2"/>
  <c r="AS49" i="36"/>
  <c r="BF13" i="2"/>
  <c r="AS50" i="36"/>
  <c r="AR58" i="36"/>
  <c r="AZ25" i="21"/>
  <c r="AZ26" i="21" s="1"/>
  <c r="AX43" i="37" s="1"/>
  <c r="AR51" i="37" l="1"/>
  <c r="AQ42" i="38"/>
  <c r="BG12" i="2"/>
  <c r="AT49" i="36"/>
  <c r="BG10" i="2"/>
  <c r="AT47" i="36"/>
  <c r="AR59" i="36"/>
  <c r="AS48" i="37"/>
  <c r="BG8" i="2"/>
  <c r="AT45" i="36"/>
  <c r="BG6" i="2"/>
  <c r="AT43" i="36"/>
  <c r="BG17" i="2"/>
  <c r="AT54" i="36"/>
  <c r="BG5" i="2"/>
  <c r="AT42" i="36"/>
  <c r="BF19" i="2"/>
  <c r="AT51" i="36"/>
  <c r="BG14" i="2"/>
  <c r="BG15" i="2"/>
  <c r="AT52" i="36"/>
  <c r="AT48" i="36"/>
  <c r="BG11" i="2"/>
  <c r="BG13" i="2"/>
  <c r="AT50" i="36"/>
  <c r="BG9" i="2"/>
  <c r="AT46" i="36"/>
  <c r="BG16" i="2"/>
  <c r="AT53" i="36"/>
  <c r="AS58" i="36"/>
  <c r="AT55" i="36"/>
  <c r="BG18" i="2"/>
  <c r="BG7" i="2"/>
  <c r="AT44" i="36"/>
  <c r="BA25" i="21"/>
  <c r="BA26" i="21" s="1"/>
  <c r="AY43" i="37" s="1"/>
  <c r="G23" i="37"/>
  <c r="F17" i="38"/>
  <c r="AT58" i="36" l="1"/>
  <c r="AT59" i="36" s="1"/>
  <c r="BH5" i="2"/>
  <c r="AU42" i="36"/>
  <c r="BG19" i="2"/>
  <c r="AS51" i="37"/>
  <c r="AR42" i="38"/>
  <c r="AU50" i="36"/>
  <c r="BH13" i="2"/>
  <c r="BH18" i="2"/>
  <c r="AU55" i="36"/>
  <c r="AT48" i="37"/>
  <c r="AS59" i="36"/>
  <c r="BH10" i="2"/>
  <c r="AU47" i="36"/>
  <c r="BH16" i="2"/>
  <c r="AU53" i="36"/>
  <c r="BH14" i="2"/>
  <c r="AU51" i="36"/>
  <c r="AU49" i="36"/>
  <c r="BH12" i="2"/>
  <c r="BH11" i="2"/>
  <c r="AU48" i="36"/>
  <c r="BH17" i="2"/>
  <c r="AU54" i="36"/>
  <c r="BH15" i="2"/>
  <c r="AU52" i="36"/>
  <c r="BH6" i="2"/>
  <c r="AU43" i="36"/>
  <c r="AU46" i="36"/>
  <c r="BH9" i="2"/>
  <c r="BH7" i="2"/>
  <c r="AU44" i="36"/>
  <c r="BH8" i="2"/>
  <c r="AU45" i="36"/>
  <c r="BB25" i="21"/>
  <c r="BB26" i="21" s="1"/>
  <c r="AZ43" i="37" s="1"/>
  <c r="G13" i="37"/>
  <c r="AU48" i="37" l="1"/>
  <c r="AT42" i="38" s="1"/>
  <c r="BI16" i="2"/>
  <c r="AV53" i="36"/>
  <c r="BI9" i="2"/>
  <c r="AV46" i="36"/>
  <c r="BI10" i="2"/>
  <c r="AV47" i="36"/>
  <c r="AU58" i="36"/>
  <c r="BI11" i="2"/>
  <c r="AV48" i="36"/>
  <c r="BI5" i="2"/>
  <c r="AV42" i="36"/>
  <c r="BH19" i="2"/>
  <c r="BI17" i="2"/>
  <c r="AV54" i="36"/>
  <c r="BI12" i="2"/>
  <c r="AV49" i="36"/>
  <c r="AS42" i="38"/>
  <c r="AT51" i="37"/>
  <c r="BI15" i="2"/>
  <c r="AV52" i="36"/>
  <c r="BI14" i="2"/>
  <c r="AV51" i="36"/>
  <c r="BI18" i="2"/>
  <c r="AV55" i="36"/>
  <c r="BI6" i="2"/>
  <c r="AV43" i="36"/>
  <c r="BI8" i="2"/>
  <c r="AV45" i="36"/>
  <c r="AV44" i="36"/>
  <c r="BI7" i="2"/>
  <c r="BI13" i="2"/>
  <c r="AV50" i="36"/>
  <c r="BC25" i="21"/>
  <c r="BC26" i="21" s="1"/>
  <c r="BA43" i="37" s="1"/>
  <c r="AU51" i="37" l="1"/>
  <c r="AW44" i="36"/>
  <c r="BJ7" i="2"/>
  <c r="AW51" i="36"/>
  <c r="BJ14" i="2"/>
  <c r="AV48" i="37"/>
  <c r="AU59" i="36"/>
  <c r="BJ11" i="2"/>
  <c r="AW48" i="36"/>
  <c r="AW55" i="36"/>
  <c r="BJ18" i="2"/>
  <c r="AW47" i="36"/>
  <c r="BJ10" i="2"/>
  <c r="AW43" i="36"/>
  <c r="BJ6" i="2"/>
  <c r="AW52" i="36"/>
  <c r="BJ15" i="2"/>
  <c r="AV58" i="36"/>
  <c r="BJ9" i="2"/>
  <c r="AW46" i="36"/>
  <c r="BJ8" i="2"/>
  <c r="AW45" i="36"/>
  <c r="AW42" i="36"/>
  <c r="BJ5" i="2"/>
  <c r="BI19" i="2"/>
  <c r="BJ12" i="2"/>
  <c r="AW49" i="36"/>
  <c r="BJ17" i="2"/>
  <c r="AW54" i="36"/>
  <c r="BJ13" i="2"/>
  <c r="AW50" i="36"/>
  <c r="BJ16" i="2"/>
  <c r="AW53" i="36"/>
  <c r="BD25" i="21"/>
  <c r="BD26" i="21" s="1"/>
  <c r="BB43" i="37" s="1"/>
  <c r="AX50" i="36" l="1"/>
  <c r="F17" i="36" s="1"/>
  <c r="BK13" i="2"/>
  <c r="AX53" i="36"/>
  <c r="F20" i="36" s="1"/>
  <c r="BK16" i="2"/>
  <c r="AX48" i="36"/>
  <c r="F15" i="36" s="1"/>
  <c r="BK11" i="2"/>
  <c r="AV51" i="37"/>
  <c r="AU42" i="38"/>
  <c r="AX54" i="36"/>
  <c r="F21" i="36" s="1"/>
  <c r="BK17" i="2"/>
  <c r="BK5" i="2"/>
  <c r="AX42" i="36"/>
  <c r="BJ19" i="2"/>
  <c r="F4" i="2" s="1"/>
  <c r="BK14" i="2"/>
  <c r="AX51" i="36"/>
  <c r="F18" i="36" s="1"/>
  <c r="AX46" i="36"/>
  <c r="F13" i="36" s="1"/>
  <c r="BK9" i="2"/>
  <c r="AX55" i="36"/>
  <c r="F22" i="36" s="1"/>
  <c r="BK18" i="2"/>
  <c r="AX44" i="36"/>
  <c r="F11" i="36" s="1"/>
  <c r="BK7" i="2"/>
  <c r="AX52" i="36"/>
  <c r="F19" i="36" s="1"/>
  <c r="BK15" i="2"/>
  <c r="AW58" i="36"/>
  <c r="AX43" i="36"/>
  <c r="F10" i="36" s="1"/>
  <c r="BK6" i="2"/>
  <c r="BK8" i="2"/>
  <c r="AX45" i="36"/>
  <c r="F12" i="36" s="1"/>
  <c r="BK10" i="2"/>
  <c r="AX47" i="36"/>
  <c r="F14" i="36" s="1"/>
  <c r="AX49" i="36"/>
  <c r="F16" i="36" s="1"/>
  <c r="BK12" i="2"/>
  <c r="AV59" i="36"/>
  <c r="AW48" i="37"/>
  <c r="BE25" i="21"/>
  <c r="BE26" i="21" s="1"/>
  <c r="BC43" i="37" s="1"/>
  <c r="AX48" i="37" l="1"/>
  <c r="AW59" i="36"/>
  <c r="BL14" i="2"/>
  <c r="AY51" i="36"/>
  <c r="AY48" i="36"/>
  <c r="BL11" i="2"/>
  <c r="BL12" i="2"/>
  <c r="AY49" i="36"/>
  <c r="AX58" i="36"/>
  <c r="F9" i="36"/>
  <c r="F25" i="36" s="1"/>
  <c r="F8" i="45" s="1"/>
  <c r="AY53" i="36"/>
  <c r="BL16" i="2"/>
  <c r="BL7" i="2"/>
  <c r="AY44" i="36"/>
  <c r="BL8" i="2"/>
  <c r="AY45" i="36"/>
  <c r="BL18" i="2"/>
  <c r="AY55" i="36"/>
  <c r="AY42" i="36"/>
  <c r="BL5" i="2"/>
  <c r="BK19" i="2"/>
  <c r="BL15" i="2"/>
  <c r="AY52" i="36"/>
  <c r="AY54" i="36"/>
  <c r="BL17" i="2"/>
  <c r="BL10" i="2"/>
  <c r="AY47" i="36"/>
  <c r="AW51" i="37"/>
  <c r="AV42" i="38"/>
  <c r="BL6" i="2"/>
  <c r="AY43" i="36"/>
  <c r="BL13" i="2"/>
  <c r="AY50" i="36"/>
  <c r="AY46" i="36"/>
  <c r="BL9" i="2"/>
  <c r="BF25" i="21"/>
  <c r="BF26" i="21" s="1"/>
  <c r="BD43" i="37" s="1"/>
  <c r="BM12" i="2" l="1"/>
  <c r="AZ49" i="36"/>
  <c r="BM8" i="2"/>
  <c r="AZ45" i="36"/>
  <c r="BM7" i="2"/>
  <c r="AZ44" i="36"/>
  <c r="AZ53" i="36"/>
  <c r="BM16" i="2"/>
  <c r="BM13" i="2"/>
  <c r="AZ50" i="36"/>
  <c r="AZ52" i="36"/>
  <c r="BM15" i="2"/>
  <c r="AZ42" i="36"/>
  <c r="BM5" i="2"/>
  <c r="BL19" i="2"/>
  <c r="BM9" i="2"/>
  <c r="AZ46" i="36"/>
  <c r="AY58" i="36"/>
  <c r="BM14" i="2"/>
  <c r="AZ51" i="36"/>
  <c r="F21" i="45"/>
  <c r="F22" i="45" s="1"/>
  <c r="F9" i="45"/>
  <c r="BM6" i="2"/>
  <c r="AZ43" i="36"/>
  <c r="BM11" i="2"/>
  <c r="AZ48" i="36"/>
  <c r="BM10" i="2"/>
  <c r="AZ47" i="36"/>
  <c r="BM17" i="2"/>
  <c r="AZ54" i="36"/>
  <c r="AZ55" i="36"/>
  <c r="BM18" i="2"/>
  <c r="AY48" i="37"/>
  <c r="AX59" i="36"/>
  <c r="F26" i="36" s="1"/>
  <c r="AX51" i="37"/>
  <c r="AW42" i="38"/>
  <c r="BG25" i="21"/>
  <c r="BG26" i="21" s="1"/>
  <c r="BE43" i="37" s="1"/>
  <c r="AY51" i="37" l="1"/>
  <c r="AX42" i="38"/>
  <c r="F13" i="38" s="1"/>
  <c r="G18" i="37"/>
  <c r="BN16" i="2"/>
  <c r="BA53" i="36"/>
  <c r="BN9" i="2"/>
  <c r="BA46" i="36"/>
  <c r="BN14" i="2"/>
  <c r="BA51" i="36"/>
  <c r="BN5" i="2"/>
  <c r="BA42" i="36"/>
  <c r="BM19" i="2"/>
  <c r="BA45" i="36"/>
  <c r="BN8" i="2"/>
  <c r="BN6" i="2"/>
  <c r="BA43" i="36"/>
  <c r="AY59" i="36"/>
  <c r="AZ48" i="37"/>
  <c r="BA52" i="36"/>
  <c r="BN15" i="2"/>
  <c r="BN13" i="2"/>
  <c r="BA50" i="36"/>
  <c r="BN11" i="2"/>
  <c r="BA48" i="36"/>
  <c r="BA49" i="36"/>
  <c r="BN12" i="2"/>
  <c r="BN10" i="2"/>
  <c r="BA47" i="36"/>
  <c r="BN18" i="2"/>
  <c r="BA55" i="36"/>
  <c r="BA44" i="36"/>
  <c r="BN7" i="2"/>
  <c r="AZ58" i="36"/>
  <c r="BA54" i="36"/>
  <c r="BN17" i="2"/>
  <c r="H11" i="46"/>
  <c r="E5" i="43"/>
  <c r="BH25" i="21"/>
  <c r="BH26" i="21" s="1"/>
  <c r="BF43" i="37" s="1"/>
  <c r="BB52" i="36" l="1"/>
  <c r="BO15" i="2"/>
  <c r="BO16" i="2"/>
  <c r="BB53" i="36"/>
  <c r="BO5" i="2"/>
  <c r="BB42" i="36"/>
  <c r="BN19" i="2"/>
  <c r="AZ51" i="37"/>
  <c r="AY42" i="38"/>
  <c r="BO18" i="2"/>
  <c r="BB55" i="36"/>
  <c r="H13" i="46"/>
  <c r="BB54" i="36"/>
  <c r="BO17" i="2"/>
  <c r="BO10" i="2"/>
  <c r="BB47" i="36"/>
  <c r="BA48" i="37"/>
  <c r="AZ59" i="36"/>
  <c r="BB44" i="36"/>
  <c r="BO7" i="2"/>
  <c r="BB51" i="36"/>
  <c r="BO14" i="2"/>
  <c r="BO11" i="2"/>
  <c r="BB48" i="36"/>
  <c r="BB43" i="36"/>
  <c r="BO6" i="2"/>
  <c r="E9" i="43"/>
  <c r="BO13" i="2"/>
  <c r="BB50" i="36"/>
  <c r="BA58" i="36"/>
  <c r="BO12" i="2"/>
  <c r="BB49" i="36"/>
  <c r="BO8" i="2"/>
  <c r="BB45" i="36"/>
  <c r="BO9" i="2"/>
  <c r="BB46" i="36"/>
  <c r="BI25" i="21"/>
  <c r="BI26" i="21" s="1"/>
  <c r="BG43" i="37" s="1"/>
  <c r="BP18" i="2" l="1"/>
  <c r="BC55" i="36"/>
  <c r="BA51" i="37"/>
  <c r="AZ42" i="38"/>
  <c r="BC53" i="36"/>
  <c r="BP16" i="2"/>
  <c r="BC50" i="36"/>
  <c r="BP13" i="2"/>
  <c r="BP11" i="2"/>
  <c r="BC48" i="36"/>
  <c r="BP15" i="2"/>
  <c r="BC52" i="36"/>
  <c r="BP6" i="2"/>
  <c r="BC43" i="36"/>
  <c r="BC42" i="36"/>
  <c r="BP5" i="2"/>
  <c r="BO19" i="2"/>
  <c r="BP14" i="2"/>
  <c r="BC51" i="36"/>
  <c r="BP10" i="2"/>
  <c r="BC47" i="36"/>
  <c r="BC49" i="36"/>
  <c r="BP12" i="2"/>
  <c r="BP9" i="2"/>
  <c r="BC46" i="36"/>
  <c r="BP17" i="2"/>
  <c r="BC54" i="36"/>
  <c r="BP8" i="2"/>
  <c r="BC45" i="36"/>
  <c r="BC44" i="36"/>
  <c r="BP7" i="2"/>
  <c r="BA59" i="36"/>
  <c r="BB48" i="37"/>
  <c r="BB58" i="36"/>
  <c r="BJ25" i="21"/>
  <c r="BJ26" i="21" s="1"/>
  <c r="BH43" i="37" s="1"/>
  <c r="BQ6" i="2" l="1"/>
  <c r="BD43" i="36"/>
  <c r="BD54" i="36"/>
  <c r="BQ17" i="2"/>
  <c r="BQ14" i="2"/>
  <c r="BD51" i="36"/>
  <c r="BD46" i="36"/>
  <c r="BQ9" i="2"/>
  <c r="BQ11" i="2"/>
  <c r="BD48" i="36"/>
  <c r="BQ18" i="2"/>
  <c r="BD55" i="36"/>
  <c r="BB51" i="37"/>
  <c r="BA42" i="38"/>
  <c r="BQ12" i="2"/>
  <c r="BD49" i="36"/>
  <c r="BQ5" i="2"/>
  <c r="BD42" i="36"/>
  <c r="BP19" i="2"/>
  <c r="BQ13" i="2"/>
  <c r="BD50" i="36"/>
  <c r="BQ8" i="2"/>
  <c r="BD45" i="36"/>
  <c r="BQ15" i="2"/>
  <c r="BD52" i="36"/>
  <c r="BC58" i="36"/>
  <c r="BD47" i="36"/>
  <c r="BQ10" i="2"/>
  <c r="BQ7" i="2"/>
  <c r="BD44" i="36"/>
  <c r="BB59" i="36"/>
  <c r="BC48" i="37"/>
  <c r="BQ16" i="2"/>
  <c r="BD53" i="36"/>
  <c r="BK25" i="21"/>
  <c r="BK26" i="21" s="1"/>
  <c r="BI43" i="37" s="1"/>
  <c r="BR14" i="2" l="1"/>
  <c r="BE51" i="36"/>
  <c r="BR10" i="2"/>
  <c r="BE47" i="36"/>
  <c r="BR17" i="2"/>
  <c r="BE54" i="36"/>
  <c r="BR18" i="2"/>
  <c r="BE55" i="36"/>
  <c r="BD48" i="37"/>
  <c r="BC59" i="36"/>
  <c r="BD58" i="36"/>
  <c r="BR5" i="2"/>
  <c r="BE42" i="36"/>
  <c r="BQ19" i="2"/>
  <c r="BR16" i="2"/>
  <c r="BE53" i="36"/>
  <c r="BC51" i="37"/>
  <c r="BB42" i="38"/>
  <c r="BE52" i="36"/>
  <c r="BR15" i="2"/>
  <c r="BR11" i="2"/>
  <c r="BE48" i="36"/>
  <c r="BE43" i="36"/>
  <c r="BR6" i="2"/>
  <c r="BR13" i="2"/>
  <c r="BE50" i="36"/>
  <c r="BR12" i="2"/>
  <c r="BE49" i="36"/>
  <c r="BR9" i="2"/>
  <c r="BE46" i="36"/>
  <c r="BR7" i="2"/>
  <c r="BE44" i="36"/>
  <c r="BR8" i="2"/>
  <c r="BE45" i="36"/>
  <c r="BL25" i="21"/>
  <c r="BL26" i="21" s="1"/>
  <c r="BJ43" i="37" s="1"/>
  <c r="BS17" i="2" l="1"/>
  <c r="BF54" i="36"/>
  <c r="BS9" i="2"/>
  <c r="BF46" i="36"/>
  <c r="BS18" i="2"/>
  <c r="BF55" i="36"/>
  <c r="BS11" i="2"/>
  <c r="BF48" i="36"/>
  <c r="BS15" i="2"/>
  <c r="BF52" i="36"/>
  <c r="BF49" i="36"/>
  <c r="BS12" i="2"/>
  <c r="BE48" i="37"/>
  <c r="BD59" i="36"/>
  <c r="BF47" i="36"/>
  <c r="BS10" i="2"/>
  <c r="BE58" i="36"/>
  <c r="BF42" i="36"/>
  <c r="BS5" i="2"/>
  <c r="BR19" i="2"/>
  <c r="BS8" i="2"/>
  <c r="BF45" i="36"/>
  <c r="BS13" i="2"/>
  <c r="BF50" i="36"/>
  <c r="BF43" i="36"/>
  <c r="BS6" i="2"/>
  <c r="BD51" i="37"/>
  <c r="BC42" i="38"/>
  <c r="BS14" i="2"/>
  <c r="BF51" i="36"/>
  <c r="BF44" i="36"/>
  <c r="BS7" i="2"/>
  <c r="BS16" i="2"/>
  <c r="BF53" i="36"/>
  <c r="BM25" i="21"/>
  <c r="H23" i="37"/>
  <c r="G17" i="38"/>
  <c r="BG44" i="36" l="1"/>
  <c r="BT7" i="2"/>
  <c r="BT13" i="2"/>
  <c r="BG50" i="36"/>
  <c r="BE51" i="37"/>
  <c r="BD42" i="38"/>
  <c r="BT18" i="2"/>
  <c r="BG55" i="36"/>
  <c r="BT14" i="2"/>
  <c r="BG51" i="36"/>
  <c r="BT5" i="2"/>
  <c r="BG42" i="36"/>
  <c r="BS19" i="2"/>
  <c r="BG46" i="36"/>
  <c r="BT9" i="2"/>
  <c r="BT6" i="2"/>
  <c r="BG43" i="36"/>
  <c r="BF58" i="36"/>
  <c r="BT10" i="2"/>
  <c r="BG47" i="36"/>
  <c r="BT11" i="2"/>
  <c r="BG48" i="36"/>
  <c r="BT8" i="2"/>
  <c r="BG45" i="36"/>
  <c r="BG49" i="36"/>
  <c r="BT12" i="2"/>
  <c r="BG53" i="36"/>
  <c r="BT16" i="2"/>
  <c r="BF48" i="37"/>
  <c r="BE59" i="36"/>
  <c r="BT15" i="2"/>
  <c r="BG52" i="36"/>
  <c r="BG54" i="36"/>
  <c r="BT17" i="2"/>
  <c r="BM26" i="21"/>
  <c r="BH43" i="36" l="1"/>
  <c r="BU6" i="2"/>
  <c r="BU9" i="2"/>
  <c r="BH46" i="36"/>
  <c r="BF51" i="37"/>
  <c r="BE42" i="38"/>
  <c r="BU15" i="2"/>
  <c r="BH52" i="36"/>
  <c r="BH53" i="36"/>
  <c r="BU16" i="2"/>
  <c r="BU10" i="2"/>
  <c r="BH47" i="36"/>
  <c r="BU5" i="2"/>
  <c r="BH42" i="36"/>
  <c r="BT19" i="2"/>
  <c r="BU13" i="2"/>
  <c r="BH50" i="36"/>
  <c r="BU8" i="2"/>
  <c r="BH45" i="36"/>
  <c r="BU11" i="2"/>
  <c r="BH48" i="36"/>
  <c r="BF59" i="36"/>
  <c r="BG48" i="37"/>
  <c r="BU7" i="2"/>
  <c r="BH44" i="36"/>
  <c r="BH55" i="36"/>
  <c r="BU18" i="2"/>
  <c r="BG58" i="36"/>
  <c r="BH54" i="36"/>
  <c r="BU17" i="2"/>
  <c r="BU12" i="2"/>
  <c r="BH49" i="36"/>
  <c r="BH51" i="36"/>
  <c r="BU14" i="2"/>
  <c r="BK43" i="37"/>
  <c r="H13" i="37" s="1"/>
  <c r="D16" i="38"/>
  <c r="BV7" i="2" l="1"/>
  <c r="BJ44" i="36" s="1"/>
  <c r="BI44" i="36"/>
  <c r="BG51" i="37"/>
  <c r="BF42" i="38"/>
  <c r="BH58" i="36"/>
  <c r="BV13" i="2"/>
  <c r="BJ50" i="36" s="1"/>
  <c r="BI50" i="36"/>
  <c r="BI54" i="36"/>
  <c r="BV17" i="2"/>
  <c r="BJ54" i="36" s="1"/>
  <c r="BI47" i="36"/>
  <c r="BV10" i="2"/>
  <c r="BJ47" i="36" s="1"/>
  <c r="BV9" i="2"/>
  <c r="BJ46" i="36" s="1"/>
  <c r="BI46" i="36"/>
  <c r="BI42" i="36"/>
  <c r="BV5" i="2"/>
  <c r="BU19" i="2"/>
  <c r="BI48" i="36"/>
  <c r="BV11" i="2"/>
  <c r="BJ48" i="36" s="1"/>
  <c r="BV16" i="2"/>
  <c r="BJ53" i="36" s="1"/>
  <c r="BI53" i="36"/>
  <c r="BV6" i="2"/>
  <c r="BJ43" i="36" s="1"/>
  <c r="BI43" i="36"/>
  <c r="BV12" i="2"/>
  <c r="BJ49" i="36" s="1"/>
  <c r="BI49" i="36"/>
  <c r="BV15" i="2"/>
  <c r="BJ52" i="36" s="1"/>
  <c r="BI52" i="36"/>
  <c r="BH48" i="37"/>
  <c r="BG59" i="36"/>
  <c r="BI55" i="36"/>
  <c r="BV18" i="2"/>
  <c r="BJ55" i="36" s="1"/>
  <c r="G22" i="36" s="1"/>
  <c r="BI51" i="36"/>
  <c r="BV14" i="2"/>
  <c r="BJ51" i="36" s="1"/>
  <c r="G18" i="36" s="1"/>
  <c r="BV8" i="2"/>
  <c r="BJ45" i="36" s="1"/>
  <c r="BI45" i="36"/>
  <c r="E16" i="38"/>
  <c r="G14" i="36" l="1"/>
  <c r="G17" i="36"/>
  <c r="G12" i="36"/>
  <c r="G11" i="36"/>
  <c r="G13" i="36"/>
  <c r="G16" i="36"/>
  <c r="BJ42" i="36"/>
  <c r="BV19" i="2"/>
  <c r="G4" i="2" s="1"/>
  <c r="BI58" i="36"/>
  <c r="G10" i="36"/>
  <c r="BI48" i="37"/>
  <c r="BH59" i="36"/>
  <c r="BH51" i="37"/>
  <c r="BG42" i="38"/>
  <c r="G20" i="36"/>
  <c r="G15" i="36"/>
  <c r="G19" i="36"/>
  <c r="G21" i="36"/>
  <c r="F16" i="38"/>
  <c r="BI51" i="37" l="1"/>
  <c r="BH42" i="38"/>
  <c r="BI59" i="36"/>
  <c r="BJ48" i="37"/>
  <c r="BJ58" i="36"/>
  <c r="G9" i="36"/>
  <c r="G25" i="36" s="1"/>
  <c r="G8" i="45" s="1"/>
  <c r="G16" i="38"/>
  <c r="BI42" i="38" l="1"/>
  <c r="BJ51" i="37"/>
  <c r="G9" i="45"/>
  <c r="G21" i="45"/>
  <c r="G22" i="45" s="1"/>
  <c r="BJ59" i="36"/>
  <c r="G26" i="36" s="1"/>
  <c r="BK48" i="37"/>
  <c r="G14" i="40"/>
  <c r="BJ42" i="38" l="1"/>
  <c r="G13" i="38" s="1"/>
  <c r="BK51" i="37"/>
  <c r="H18" i="37"/>
  <c r="I11" i="46"/>
  <c r="F5" i="43"/>
  <c r="C11" i="45"/>
  <c r="C28" i="36"/>
  <c r="C24" i="45"/>
  <c r="B27" i="46" l="1"/>
  <c r="I13" i="46"/>
  <c r="J11" i="46"/>
  <c r="F9" i="43"/>
  <c r="G5" i="43"/>
  <c r="G9" i="43" s="1"/>
  <c r="C20" i="38"/>
  <c r="C18" i="38"/>
  <c r="D20" i="37" l="1"/>
  <c r="C3" i="50" s="1"/>
  <c r="C4" i="50" s="1"/>
  <c r="D21" i="37"/>
  <c r="K6" i="37" s="1"/>
  <c r="C5" i="50" l="1"/>
  <c r="C19" i="50"/>
  <c r="B4" i="46" s="1"/>
  <c r="D21" i="46" l="1"/>
  <c r="D20" i="46" s="1"/>
  <c r="D19" i="46" s="1"/>
  <c r="B30" i="46"/>
  <c r="D22" i="46" l="1"/>
  <c r="D23" i="46" s="1"/>
  <c r="D34" i="46" s="1"/>
  <c r="I39" i="46" s="1"/>
  <c r="D32" i="46"/>
  <c r="G39" i="46" s="1"/>
  <c r="M39" i="46" s="1"/>
  <c r="S39" i="46" s="1"/>
  <c r="D30" i="46"/>
  <c r="E39" i="46" s="1"/>
  <c r="K39" i="46" s="1"/>
  <c r="Q39" i="46" s="1"/>
  <c r="D31" i="46"/>
  <c r="F39" i="46" s="1"/>
  <c r="L39" i="46" s="1"/>
  <c r="R39" i="46" s="1"/>
  <c r="D33" i="46" l="1"/>
  <c r="J33" i="46" s="1"/>
  <c r="J34" i="46"/>
  <c r="O39" i="46" s="1"/>
  <c r="U39" i="46" s="1"/>
  <c r="P34" i="46"/>
  <c r="P31" i="46"/>
  <c r="J31" i="46"/>
  <c r="J30" i="46"/>
  <c r="P30" i="46"/>
  <c r="P32" i="46"/>
  <c r="J32" i="46"/>
  <c r="P33" i="46" l="1"/>
  <c r="H39" i="46"/>
  <c r="N39" i="46" s="1"/>
  <c r="T39" i="46" s="1"/>
  <c r="D28" i="36"/>
  <c r="D11" i="45"/>
  <c r="D24" i="45"/>
  <c r="D20" i="38"/>
  <c r="D18" i="38"/>
  <c r="E21" i="37" l="1"/>
  <c r="L6" i="37" s="1"/>
  <c r="E20" i="37"/>
  <c r="E28" i="36" l="1"/>
  <c r="E24" i="45" l="1"/>
  <c r="E18" i="38"/>
  <c r="E20" i="38"/>
  <c r="E11" i="45"/>
  <c r="F20" i="37" l="1"/>
  <c r="F21" i="37"/>
  <c r="M6" i="37" s="1"/>
  <c r="F24" i="45" l="1"/>
  <c r="F28" i="36"/>
  <c r="F11" i="45"/>
  <c r="F20" i="38"/>
  <c r="F18" i="38"/>
  <c r="G20" i="37" l="1"/>
  <c r="G21" i="37"/>
  <c r="N6" i="37" s="1"/>
  <c r="G20" i="38" l="1"/>
  <c r="G24" i="45" l="1"/>
  <c r="G28" i="36"/>
  <c r="G11" i="45"/>
  <c r="G18" i="38"/>
  <c r="H20" i="37"/>
  <c r="H21" i="37"/>
  <c r="O6" i="37" s="1"/>
  <c r="L24" i="2" l="1"/>
  <c r="M24" i="2" s="1"/>
  <c r="N24" i="2" s="1"/>
  <c r="C6" i="21"/>
  <c r="C51" i="38" s="1"/>
  <c r="C52" i="38" s="1"/>
  <c r="C4" i="40"/>
  <c r="C7" i="21"/>
  <c r="F7" i="21" s="1"/>
  <c r="C60" i="36" s="1"/>
  <c r="C38" i="38" l="1"/>
  <c r="C62" i="36"/>
  <c r="F8" i="21"/>
  <c r="G7" i="21"/>
  <c r="D60" i="36" s="1"/>
  <c r="C14" i="40"/>
  <c r="E16" i="40" s="1"/>
  <c r="B8" i="54"/>
  <c r="B10" i="54" s="1"/>
  <c r="B14" i="54" s="1"/>
  <c r="B15" i="54" s="1"/>
  <c r="C23" i="38"/>
  <c r="C22" i="38"/>
  <c r="F5" i="21"/>
  <c r="D38" i="38" l="1"/>
  <c r="D62" i="36"/>
  <c r="F9" i="21"/>
  <c r="D42" i="37" s="1"/>
  <c r="G5" i="21"/>
  <c r="H7" i="21"/>
  <c r="E60" i="36" s="1"/>
  <c r="G8" i="21"/>
  <c r="E38" i="38" l="1"/>
  <c r="E62" i="36"/>
  <c r="I7" i="21"/>
  <c r="F60" i="36" s="1"/>
  <c r="H8" i="21"/>
  <c r="H5" i="21"/>
  <c r="G9" i="21"/>
  <c r="E42" i="37" s="1"/>
  <c r="F38" i="38" l="1"/>
  <c r="F62" i="36"/>
  <c r="I8" i="21"/>
  <c r="I5" i="21"/>
  <c r="H9" i="21"/>
  <c r="F42" i="37" s="1"/>
  <c r="J7" i="21"/>
  <c r="G60" i="36" s="1"/>
  <c r="G38" i="38" l="1"/>
  <c r="G62" i="36"/>
  <c r="K7" i="21"/>
  <c r="H60" i="36" s="1"/>
  <c r="J8" i="21"/>
  <c r="J5" i="21"/>
  <c r="I9" i="21"/>
  <c r="G42" i="37" s="1"/>
  <c r="H38" i="38" l="1"/>
  <c r="H62" i="36"/>
  <c r="J9" i="21"/>
  <c r="H42" i="37" s="1"/>
  <c r="K5" i="21"/>
  <c r="K8" i="21"/>
  <c r="L7" i="21"/>
  <c r="I60" i="36" s="1"/>
  <c r="I38" i="38" l="1"/>
  <c r="I62" i="36"/>
  <c r="L8" i="21"/>
  <c r="M7" i="21"/>
  <c r="J60" i="36" s="1"/>
  <c r="L5" i="21"/>
  <c r="K9" i="21"/>
  <c r="I42" i="37" s="1"/>
  <c r="J38" i="38" l="1"/>
  <c r="J62" i="36"/>
  <c r="M5" i="21"/>
  <c r="L9" i="21"/>
  <c r="J42" i="37" s="1"/>
  <c r="N7" i="21"/>
  <c r="K60" i="36" s="1"/>
  <c r="M8" i="21"/>
  <c r="K38" i="38" l="1"/>
  <c r="K62" i="36"/>
  <c r="N8" i="21"/>
  <c r="O7" i="21"/>
  <c r="L60" i="36" s="1"/>
  <c r="N5" i="21"/>
  <c r="M9" i="21"/>
  <c r="K42" i="37" s="1"/>
  <c r="L38" i="38" l="1"/>
  <c r="L62" i="36"/>
  <c r="P7" i="21"/>
  <c r="M60" i="36" s="1"/>
  <c r="N9" i="21"/>
  <c r="L42" i="37" s="1"/>
  <c r="O5" i="21"/>
  <c r="O8" i="21"/>
  <c r="M38" i="38" l="1"/>
  <c r="M62" i="36"/>
  <c r="P8" i="21"/>
  <c r="P5" i="21"/>
  <c r="O9" i="21"/>
  <c r="M42" i="37" s="1"/>
  <c r="Q7" i="21"/>
  <c r="N60" i="36" s="1"/>
  <c r="N38" i="38" l="1"/>
  <c r="C9" i="38" s="1"/>
  <c r="N62" i="36"/>
  <c r="R7" i="21"/>
  <c r="O60" i="36" s="1"/>
  <c r="P9" i="21"/>
  <c r="N42" i="37" s="1"/>
  <c r="Q5" i="21"/>
  <c r="Q8" i="21"/>
  <c r="G63" i="36" l="1"/>
  <c r="G64" i="36" s="1"/>
  <c r="G36" i="38" s="1"/>
  <c r="G43" i="38" s="1"/>
  <c r="G54" i="38" s="1"/>
  <c r="J63" i="36"/>
  <c r="J64" i="36" s="1"/>
  <c r="J36" i="38" s="1"/>
  <c r="J43" i="38" s="1"/>
  <c r="J54" i="38" s="1"/>
  <c r="C63" i="36"/>
  <c r="C64" i="36" s="1"/>
  <c r="C36" i="38" s="1"/>
  <c r="H63" i="36"/>
  <c r="H64" i="36" s="1"/>
  <c r="H36" i="38" s="1"/>
  <c r="H43" i="38" s="1"/>
  <c r="H54" i="38" s="1"/>
  <c r="E63" i="36"/>
  <c r="E64" i="36" s="1"/>
  <c r="E36" i="38" s="1"/>
  <c r="E43" i="38" s="1"/>
  <c r="E54" i="38" s="1"/>
  <c r="L63" i="36"/>
  <c r="L64" i="36" s="1"/>
  <c r="L36" i="38" s="1"/>
  <c r="L43" i="38" s="1"/>
  <c r="L54" i="38" s="1"/>
  <c r="I63" i="36"/>
  <c r="I64" i="36" s="1"/>
  <c r="I36" i="38" s="1"/>
  <c r="I43" i="38" s="1"/>
  <c r="I54" i="38" s="1"/>
  <c r="D63" i="36"/>
  <c r="D64" i="36" s="1"/>
  <c r="D36" i="38" s="1"/>
  <c r="D43" i="38" s="1"/>
  <c r="D54" i="38" s="1"/>
  <c r="N63" i="36"/>
  <c r="N64" i="36" s="1"/>
  <c r="N36" i="38" s="1"/>
  <c r="N43" i="38" s="1"/>
  <c r="N54" i="38" s="1"/>
  <c r="K63" i="36"/>
  <c r="K64" i="36" s="1"/>
  <c r="K36" i="38" s="1"/>
  <c r="K43" i="38" s="1"/>
  <c r="K54" i="38" s="1"/>
  <c r="M63" i="36"/>
  <c r="M64" i="36" s="1"/>
  <c r="M36" i="38" s="1"/>
  <c r="M43" i="38" s="1"/>
  <c r="M54" i="38" s="1"/>
  <c r="F63" i="36"/>
  <c r="F64" i="36" s="1"/>
  <c r="F36" i="38" s="1"/>
  <c r="F43" i="38" s="1"/>
  <c r="F54" i="38" s="1"/>
  <c r="O38" i="38"/>
  <c r="O62" i="36"/>
  <c r="R8" i="21"/>
  <c r="Q9" i="21"/>
  <c r="R5" i="21"/>
  <c r="S7" i="21"/>
  <c r="P60" i="36" s="1"/>
  <c r="C27" i="36"/>
  <c r="C23" i="45"/>
  <c r="C25" i="45" s="1"/>
  <c r="J8" i="45" s="1"/>
  <c r="C10" i="45"/>
  <c r="C12" i="45" s="1"/>
  <c r="J6" i="45" s="1"/>
  <c r="C68" i="36" l="1"/>
  <c r="C43" i="38"/>
  <c r="C54" i="38" s="1"/>
  <c r="C56" i="38" s="1"/>
  <c r="D55" i="38" s="1"/>
  <c r="D56" i="38" s="1"/>
  <c r="E55" i="38" s="1"/>
  <c r="E56" i="38" s="1"/>
  <c r="F55" i="38" s="1"/>
  <c r="F56" i="38" s="1"/>
  <c r="G55" i="38" s="1"/>
  <c r="G56" i="38" s="1"/>
  <c r="H55" i="38" s="1"/>
  <c r="H56" i="38" s="1"/>
  <c r="I55" i="38" s="1"/>
  <c r="I56" i="38" s="1"/>
  <c r="J55" i="38" s="1"/>
  <c r="J56" i="38" s="1"/>
  <c r="K55" i="38" s="1"/>
  <c r="K56" i="38" s="1"/>
  <c r="L55" i="38" s="1"/>
  <c r="L56" i="38" s="1"/>
  <c r="M55" i="38" s="1"/>
  <c r="M56" i="38" s="1"/>
  <c r="N55" i="38" s="1"/>
  <c r="N56" i="38" s="1"/>
  <c r="O55" i="38" s="1"/>
  <c r="P38" i="38"/>
  <c r="P62" i="36"/>
  <c r="O42" i="37"/>
  <c r="D12" i="37" s="1"/>
  <c r="C13" i="39"/>
  <c r="C27" i="39" s="1"/>
  <c r="C29" i="36"/>
  <c r="R9" i="21"/>
  <c r="P42" i="37" s="1"/>
  <c r="S5" i="21"/>
  <c r="T7" i="21"/>
  <c r="Q60" i="36" s="1"/>
  <c r="S8" i="21"/>
  <c r="Q38" i="38" l="1"/>
  <c r="Q62" i="36"/>
  <c r="D54" i="37"/>
  <c r="D55" i="37" s="1"/>
  <c r="D56" i="37" s="1"/>
  <c r="D67" i="36"/>
  <c r="D68" i="36" s="1"/>
  <c r="C20" i="39"/>
  <c r="J7" i="45"/>
  <c r="T8" i="21"/>
  <c r="U7" i="21"/>
  <c r="R60" i="36" s="1"/>
  <c r="S9" i="21"/>
  <c r="Q42" i="37" s="1"/>
  <c r="T5" i="21"/>
  <c r="C30" i="36"/>
  <c r="R38" i="38" l="1"/>
  <c r="R62" i="36"/>
  <c r="E54" i="37"/>
  <c r="E55" i="37" s="1"/>
  <c r="E56" i="37" s="1"/>
  <c r="E67" i="36"/>
  <c r="E68" i="36" s="1"/>
  <c r="U8" i="21"/>
  <c r="E25" i="27"/>
  <c r="F25" i="27" s="1"/>
  <c r="E19" i="27"/>
  <c r="F19" i="27" s="1"/>
  <c r="E18" i="27"/>
  <c r="F18" i="27" s="1"/>
  <c r="D17" i="27" s="1"/>
  <c r="E17" i="27" s="1"/>
  <c r="E20" i="27"/>
  <c r="F20" i="27" s="1"/>
  <c r="B17" i="27" s="1"/>
  <c r="E26" i="27"/>
  <c r="F26" i="27" s="1"/>
  <c r="E23" i="27"/>
  <c r="F23" i="27" s="1"/>
  <c r="E28" i="27"/>
  <c r="F28" i="27" s="1"/>
  <c r="E22" i="27"/>
  <c r="F22" i="27" s="1"/>
  <c r="E21" i="27"/>
  <c r="F21" i="27" s="1"/>
  <c r="E29" i="27"/>
  <c r="F29" i="27" s="1"/>
  <c r="E27" i="27"/>
  <c r="F27" i="27" s="1"/>
  <c r="E24" i="27"/>
  <c r="F24" i="27" s="1"/>
  <c r="V7" i="21"/>
  <c r="S60" i="36" s="1"/>
  <c r="C31" i="36"/>
  <c r="B6" i="43" s="1"/>
  <c r="U5" i="21"/>
  <c r="T9" i="21"/>
  <c r="R42" i="37" s="1"/>
  <c r="F54" i="37" l="1"/>
  <c r="F55" i="37" s="1"/>
  <c r="F56" i="37" s="1"/>
  <c r="F67" i="36"/>
  <c r="F68" i="36" s="1"/>
  <c r="S38" i="38"/>
  <c r="S62" i="36"/>
  <c r="F17" i="27"/>
  <c r="W7" i="21"/>
  <c r="T60" i="36" s="1"/>
  <c r="C7" i="38"/>
  <c r="U9" i="21"/>
  <c r="S42" i="37" s="1"/>
  <c r="V5" i="21"/>
  <c r="V8" i="21"/>
  <c r="C14" i="39"/>
  <c r="C28" i="39" s="1"/>
  <c r="T38" i="38" l="1"/>
  <c r="T62" i="36"/>
  <c r="G54" i="37"/>
  <c r="G55" i="37" s="1"/>
  <c r="G56" i="37" s="1"/>
  <c r="G67" i="36"/>
  <c r="G68" i="36" s="1"/>
  <c r="V9" i="21"/>
  <c r="T42" i="37" s="1"/>
  <c r="W5" i="21"/>
  <c r="B18" i="43"/>
  <c r="B10" i="43"/>
  <c r="B19" i="43" s="1"/>
  <c r="C14" i="38"/>
  <c r="W8" i="21"/>
  <c r="X7" i="21"/>
  <c r="U60" i="36" s="1"/>
  <c r="U38" i="38" l="1"/>
  <c r="U62" i="36"/>
  <c r="H54" i="37"/>
  <c r="H55" i="37" s="1"/>
  <c r="H56" i="37" s="1"/>
  <c r="H67" i="36"/>
  <c r="H68" i="36" s="1"/>
  <c r="W9" i="21"/>
  <c r="U42" i="37" s="1"/>
  <c r="X5" i="21"/>
  <c r="Y7" i="21"/>
  <c r="V60" i="36" s="1"/>
  <c r="X8" i="21"/>
  <c r="D37" i="37"/>
  <c r="D44" i="37" s="1"/>
  <c r="D58" i="37" s="1"/>
  <c r="C25" i="38"/>
  <c r="E5" i="49" s="1"/>
  <c r="E7" i="49" l="1"/>
  <c r="E6" i="49"/>
  <c r="I54" i="37"/>
  <c r="I55" i="37" s="1"/>
  <c r="I56" i="37" s="1"/>
  <c r="I67" i="36"/>
  <c r="I68" i="36" s="1"/>
  <c r="V38" i="38"/>
  <c r="V62" i="36"/>
  <c r="Y8" i="21"/>
  <c r="Z7" i="21"/>
  <c r="X9" i="21"/>
  <c r="V42" i="37" s="1"/>
  <c r="Y5" i="21"/>
  <c r="J8" i="38"/>
  <c r="E12" i="46"/>
  <c r="E37" i="37"/>
  <c r="E44" i="37" s="1"/>
  <c r="E58" i="37" s="1"/>
  <c r="E8" i="49" l="1"/>
  <c r="J67" i="36"/>
  <c r="J68" i="36" s="1"/>
  <c r="J54" i="37"/>
  <c r="J55" i="37" s="1"/>
  <c r="J56" i="37" s="1"/>
  <c r="Z8" i="21"/>
  <c r="W60" i="36"/>
  <c r="F37" i="37"/>
  <c r="F44" i="37" s="1"/>
  <c r="F58" i="37" s="1"/>
  <c r="Y9" i="21"/>
  <c r="W42" i="37" s="1"/>
  <c r="Z5" i="21"/>
  <c r="E14" i="46"/>
  <c r="E20" i="46"/>
  <c r="E23" i="46"/>
  <c r="E19" i="46"/>
  <c r="E22" i="46"/>
  <c r="E21" i="46"/>
  <c r="AA7" i="21"/>
  <c r="W38" i="38" l="1"/>
  <c r="W62" i="36"/>
  <c r="AA8" i="21"/>
  <c r="X60" i="36"/>
  <c r="K67" i="36"/>
  <c r="K68" i="36" s="1"/>
  <c r="K54" i="37"/>
  <c r="K55" i="37" s="1"/>
  <c r="K56" i="37" s="1"/>
  <c r="AB7" i="21"/>
  <c r="Z9" i="21"/>
  <c r="X42" i="37" s="1"/>
  <c r="AA5" i="21"/>
  <c r="G37" i="37"/>
  <c r="G44" i="37" s="1"/>
  <c r="G58" i="37" s="1"/>
  <c r="AB8" i="21" l="1"/>
  <c r="Y60" i="36"/>
  <c r="X38" i="38"/>
  <c r="X62" i="36"/>
  <c r="L67" i="36"/>
  <c r="L68" i="36" s="1"/>
  <c r="L54" i="37"/>
  <c r="L55" i="37" s="1"/>
  <c r="L56" i="37" s="1"/>
  <c r="AB5" i="21"/>
  <c r="AA9" i="21"/>
  <c r="Y42" i="37" s="1"/>
  <c r="AC7" i="21"/>
  <c r="Z60" i="36" s="1"/>
  <c r="H37" i="37"/>
  <c r="H44" i="37" s="1"/>
  <c r="H58" i="37" s="1"/>
  <c r="M67" i="36" l="1"/>
  <c r="M68" i="36" s="1"/>
  <c r="M54" i="37"/>
  <c r="M55" i="37" s="1"/>
  <c r="M56" i="37" s="1"/>
  <c r="Y38" i="38"/>
  <c r="Y62" i="36"/>
  <c r="Z38" i="38"/>
  <c r="Z62" i="36"/>
  <c r="I37" i="37"/>
  <c r="I44" i="37" s="1"/>
  <c r="I58" i="37" s="1"/>
  <c r="AD7" i="21"/>
  <c r="AA60" i="36" s="1"/>
  <c r="AB9" i="21"/>
  <c r="Z42" i="37" s="1"/>
  <c r="AC5" i="21"/>
  <c r="AC8" i="21"/>
  <c r="AA38" i="38" l="1"/>
  <c r="AA62" i="36"/>
  <c r="P63" i="36"/>
  <c r="P64" i="36" s="1"/>
  <c r="P36" i="38" s="1"/>
  <c r="P43" i="38" s="1"/>
  <c r="P54" i="38" s="1"/>
  <c r="T63" i="36"/>
  <c r="T64" i="36" s="1"/>
  <c r="T36" i="38" s="1"/>
  <c r="T43" i="38" s="1"/>
  <c r="T54" i="38" s="1"/>
  <c r="R63" i="36"/>
  <c r="R64" i="36" s="1"/>
  <c r="R36" i="38" s="1"/>
  <c r="R43" i="38" s="1"/>
  <c r="R54" i="38" s="1"/>
  <c r="S63" i="36"/>
  <c r="S64" i="36" s="1"/>
  <c r="S36" i="38" s="1"/>
  <c r="S43" i="38" s="1"/>
  <c r="S54" i="38" s="1"/>
  <c r="V63" i="36"/>
  <c r="V64" i="36" s="1"/>
  <c r="V36" i="38" s="1"/>
  <c r="V43" i="38" s="1"/>
  <c r="V54" i="38" s="1"/>
  <c r="X63" i="36"/>
  <c r="X64" i="36" s="1"/>
  <c r="X36" i="38" s="1"/>
  <c r="X43" i="38" s="1"/>
  <c r="X54" i="38" s="1"/>
  <c r="O63" i="36"/>
  <c r="O64" i="36" s="1"/>
  <c r="O36" i="38" s="1"/>
  <c r="O43" i="38" s="1"/>
  <c r="O54" i="38" s="1"/>
  <c r="O56" i="38" s="1"/>
  <c r="P55" i="38" s="1"/>
  <c r="Z63" i="36"/>
  <c r="Z64" i="36" s="1"/>
  <c r="Z36" i="38" s="1"/>
  <c r="Z43" i="38" s="1"/>
  <c r="Z54" i="38" s="1"/>
  <c r="U63" i="36"/>
  <c r="U64" i="36" s="1"/>
  <c r="U36" i="38" s="1"/>
  <c r="U43" i="38" s="1"/>
  <c r="U54" i="38" s="1"/>
  <c r="Y63" i="36"/>
  <c r="Y64" i="36" s="1"/>
  <c r="Y36" i="38" s="1"/>
  <c r="Y43" i="38" s="1"/>
  <c r="Y54" i="38" s="1"/>
  <c r="Q63" i="36"/>
  <c r="Q64" i="36" s="1"/>
  <c r="Q36" i="38" s="1"/>
  <c r="Q43" i="38" s="1"/>
  <c r="Q54" i="38" s="1"/>
  <c r="W63" i="36"/>
  <c r="W64" i="36" s="1"/>
  <c r="W36" i="38" s="1"/>
  <c r="W43" i="38" s="1"/>
  <c r="W54" i="38" s="1"/>
  <c r="N67" i="36"/>
  <c r="N68" i="36" s="1"/>
  <c r="N54" i="37"/>
  <c r="N55" i="37" s="1"/>
  <c r="N56" i="37" s="1"/>
  <c r="AD8" i="21"/>
  <c r="D9" i="38"/>
  <c r="D10" i="45"/>
  <c r="D12" i="45" s="1"/>
  <c r="K6" i="45" s="1"/>
  <c r="D27" i="36"/>
  <c r="D13" i="39" s="1"/>
  <c r="D27" i="39" s="1"/>
  <c r="D23" i="45"/>
  <c r="D25" i="45" s="1"/>
  <c r="K8" i="45" s="1"/>
  <c r="J37" i="37"/>
  <c r="J44" i="37" s="1"/>
  <c r="J58" i="37" s="1"/>
  <c r="AC9" i="21"/>
  <c r="AD5" i="21"/>
  <c r="AE7" i="21"/>
  <c r="AB60" i="36" s="1"/>
  <c r="AA42" i="37" l="1"/>
  <c r="E12" i="37" s="1"/>
  <c r="O67" i="36"/>
  <c r="O68" i="36" s="1"/>
  <c r="O54" i="37"/>
  <c r="O55" i="37" s="1"/>
  <c r="O56" i="37" s="1"/>
  <c r="AB38" i="38"/>
  <c r="AB62" i="36"/>
  <c r="P56" i="38"/>
  <c r="Q55" i="38" s="1"/>
  <c r="Q56" i="38" s="1"/>
  <c r="R55" i="38" s="1"/>
  <c r="R56" i="38" s="1"/>
  <c r="S55" i="38" s="1"/>
  <c r="S56" i="38" s="1"/>
  <c r="T55" i="38" s="1"/>
  <c r="T56" i="38" s="1"/>
  <c r="U55" i="38" s="1"/>
  <c r="U56" i="38" s="1"/>
  <c r="V55" i="38" s="1"/>
  <c r="V56" i="38" s="1"/>
  <c r="W55" i="38" s="1"/>
  <c r="W56" i="38" s="1"/>
  <c r="X55" i="38" s="1"/>
  <c r="X56" i="38" s="1"/>
  <c r="Y55" i="38" s="1"/>
  <c r="Y56" i="38" s="1"/>
  <c r="Z55" i="38" s="1"/>
  <c r="Z56" i="38" s="1"/>
  <c r="AA55" i="38" s="1"/>
  <c r="AF7" i="21"/>
  <c r="AC60" i="36" s="1"/>
  <c r="D29" i="36"/>
  <c r="K37" i="37"/>
  <c r="K44" i="37" s="1"/>
  <c r="K58" i="37" s="1"/>
  <c r="AD9" i="21"/>
  <c r="AB42" i="37" s="1"/>
  <c r="AE5" i="21"/>
  <c r="AE8" i="21"/>
  <c r="AC38" i="38" l="1"/>
  <c r="AC62" i="36"/>
  <c r="P54" i="37"/>
  <c r="P55" i="37" s="1"/>
  <c r="P56" i="37" s="1"/>
  <c r="P67" i="36"/>
  <c r="P68" i="36" s="1"/>
  <c r="AF8" i="21"/>
  <c r="D20" i="39"/>
  <c r="K7" i="45"/>
  <c r="AF5" i="21"/>
  <c r="AE9" i="21"/>
  <c r="AC42" i="37" s="1"/>
  <c r="D30" i="36"/>
  <c r="AG7" i="21"/>
  <c r="AD60" i="36" s="1"/>
  <c r="L37" i="37"/>
  <c r="L44" i="37" s="1"/>
  <c r="L58" i="37" s="1"/>
  <c r="AD38" i="38" l="1"/>
  <c r="AD62" i="36"/>
  <c r="Q54" i="37"/>
  <c r="Q55" i="37" s="1"/>
  <c r="Q56" i="37" s="1"/>
  <c r="Q67" i="36"/>
  <c r="Q68" i="36" s="1"/>
  <c r="AH7" i="21"/>
  <c r="AE60" i="36" s="1"/>
  <c r="AG8" i="21"/>
  <c r="M37" i="37"/>
  <c r="M44" i="37" s="1"/>
  <c r="M58" i="37" s="1"/>
  <c r="D31" i="36"/>
  <c r="AG5" i="21"/>
  <c r="AF9" i="21"/>
  <c r="AD42" i="37" s="1"/>
  <c r="R54" i="37" l="1"/>
  <c r="R55" i="37" s="1"/>
  <c r="R56" i="37" s="1"/>
  <c r="R67" i="36"/>
  <c r="R68" i="36" s="1"/>
  <c r="AE38" i="38"/>
  <c r="AE62" i="36"/>
  <c r="D24" i="37"/>
  <c r="D14" i="39"/>
  <c r="D28" i="39" s="1"/>
  <c r="C6" i="43"/>
  <c r="N37" i="37"/>
  <c r="N44" i="37" s="1"/>
  <c r="N58" i="37" s="1"/>
  <c r="D7" i="38"/>
  <c r="AH8" i="21"/>
  <c r="AH5" i="21"/>
  <c r="AG9" i="21"/>
  <c r="AE42" i="37" s="1"/>
  <c r="AI7" i="21"/>
  <c r="AF60" i="36" s="1"/>
  <c r="AF38" i="38" l="1"/>
  <c r="AF62" i="36"/>
  <c r="S67" i="36"/>
  <c r="S68" i="36" s="1"/>
  <c r="S54" i="37"/>
  <c r="S55" i="37" s="1"/>
  <c r="S56" i="37" s="1"/>
  <c r="AI8" i="21"/>
  <c r="C18" i="43"/>
  <c r="C10" i="43"/>
  <c r="C19" i="43" s="1"/>
  <c r="AJ7" i="21"/>
  <c r="AG60" i="36" s="1"/>
  <c r="AH9" i="21"/>
  <c r="AF42" i="37" s="1"/>
  <c r="AI5" i="21"/>
  <c r="D26" i="37"/>
  <c r="D25" i="37"/>
  <c r="D14" i="38"/>
  <c r="O37" i="37"/>
  <c r="O44" i="37" s="1"/>
  <c r="O58" i="37" s="1"/>
  <c r="T67" i="36" l="1"/>
  <c r="T68" i="36" s="1"/>
  <c r="T54" i="37"/>
  <c r="T55" i="37" s="1"/>
  <c r="T56" i="37" s="1"/>
  <c r="AG38" i="38"/>
  <c r="AG62" i="36"/>
  <c r="C18" i="39"/>
  <c r="K7" i="37"/>
  <c r="C16" i="39"/>
  <c r="C30" i="39" s="1"/>
  <c r="AK7" i="21"/>
  <c r="AH60" i="36" s="1"/>
  <c r="P37" i="37"/>
  <c r="P44" i="37" s="1"/>
  <c r="P58" i="37" s="1"/>
  <c r="D26" i="38"/>
  <c r="C27" i="38"/>
  <c r="J9" i="38" s="1"/>
  <c r="D25" i="38"/>
  <c r="F5" i="49" s="1"/>
  <c r="AJ5" i="21"/>
  <c r="AI9" i="21"/>
  <c r="AG42" i="37" s="1"/>
  <c r="AJ8" i="21"/>
  <c r="F7" i="49" l="1"/>
  <c r="F6" i="49"/>
  <c r="U54" i="37"/>
  <c r="U55" i="37" s="1"/>
  <c r="U56" i="37" s="1"/>
  <c r="U67" i="36"/>
  <c r="U68" i="36" s="1"/>
  <c r="AH38" i="38"/>
  <c r="AH62" i="36"/>
  <c r="AK8" i="21"/>
  <c r="AJ9" i="21"/>
  <c r="AH42" i="37" s="1"/>
  <c r="AK5" i="21"/>
  <c r="K8" i="38"/>
  <c r="F12" i="46"/>
  <c r="D7" i="37"/>
  <c r="AL7" i="21"/>
  <c r="AI60" i="36" s="1"/>
  <c r="Q37" i="37"/>
  <c r="Q44" i="37" s="1"/>
  <c r="Q58" i="37" s="1"/>
  <c r="F8" i="49" l="1"/>
  <c r="F19" i="46"/>
  <c r="AI38" i="38"/>
  <c r="AI62" i="36"/>
  <c r="V54" i="37"/>
  <c r="V55" i="37" s="1"/>
  <c r="V56" i="37" s="1"/>
  <c r="V67" i="36"/>
  <c r="V68" i="36" s="1"/>
  <c r="R37" i="37"/>
  <c r="R44" i="37" s="1"/>
  <c r="R58" i="37" s="1"/>
  <c r="C5" i="39"/>
  <c r="C6" i="39"/>
  <c r="C4" i="39"/>
  <c r="AM7" i="21"/>
  <c r="AJ60" i="36" s="1"/>
  <c r="AL5" i="21"/>
  <c r="AK9" i="21"/>
  <c r="AI42" i="37" s="1"/>
  <c r="AL8" i="21"/>
  <c r="D14" i="37"/>
  <c r="F23" i="46"/>
  <c r="F22" i="46"/>
  <c r="F14" i="46"/>
  <c r="F20" i="46"/>
  <c r="F21" i="46"/>
  <c r="W67" i="36" l="1"/>
  <c r="W68" i="36" s="1"/>
  <c r="W54" i="37"/>
  <c r="W55" i="37" s="1"/>
  <c r="W56" i="37" s="1"/>
  <c r="AJ38" i="38"/>
  <c r="AJ62" i="36"/>
  <c r="AM8" i="21"/>
  <c r="AL9" i="21"/>
  <c r="AJ42" i="37" s="1"/>
  <c r="AM5" i="21"/>
  <c r="AN7" i="21"/>
  <c r="AK60" i="36" s="1"/>
  <c r="S37" i="37"/>
  <c r="S44" i="37" s="1"/>
  <c r="S58" i="37" s="1"/>
  <c r="K5" i="37"/>
  <c r="C19" i="39"/>
  <c r="C10" i="39"/>
  <c r="D28" i="37"/>
  <c r="C15" i="39"/>
  <c r="C29" i="39" s="1"/>
  <c r="AK38" i="38" l="1"/>
  <c r="AK62" i="36"/>
  <c r="X67" i="36"/>
  <c r="X68" i="36" s="1"/>
  <c r="X54" i="37"/>
  <c r="X55" i="37" s="1"/>
  <c r="X56" i="37" s="1"/>
  <c r="T37" i="37"/>
  <c r="T44" i="37" s="1"/>
  <c r="T58" i="37" s="1"/>
  <c r="AO7" i="21"/>
  <c r="AL60" i="36" s="1"/>
  <c r="AN8" i="21"/>
  <c r="AN5" i="21"/>
  <c r="AM9" i="21"/>
  <c r="AK42" i="37" s="1"/>
  <c r="Y54" i="37" l="1"/>
  <c r="Y55" i="37" s="1"/>
  <c r="Y56" i="37" s="1"/>
  <c r="Y67" i="36"/>
  <c r="Y68" i="36" s="1"/>
  <c r="AL38" i="38"/>
  <c r="AL62" i="36"/>
  <c r="AP7" i="21"/>
  <c r="AM60" i="36" s="1"/>
  <c r="AO8" i="21"/>
  <c r="U37" i="37"/>
  <c r="U44" i="37" s="1"/>
  <c r="U58" i="37" s="1"/>
  <c r="AN9" i="21"/>
  <c r="AL42" i="37" s="1"/>
  <c r="AO5" i="21"/>
  <c r="AF63" i="36" l="1"/>
  <c r="AF64" i="36" s="1"/>
  <c r="AF36" i="38" s="1"/>
  <c r="AF43" i="38" s="1"/>
  <c r="AF54" i="38" s="1"/>
  <c r="AA63" i="36"/>
  <c r="AA64" i="36" s="1"/>
  <c r="AA36" i="38" s="1"/>
  <c r="AA43" i="38" s="1"/>
  <c r="AA54" i="38" s="1"/>
  <c r="AA56" i="38" s="1"/>
  <c r="AB55" i="38" s="1"/>
  <c r="AJ63" i="36"/>
  <c r="AJ64" i="36" s="1"/>
  <c r="AJ36" i="38" s="1"/>
  <c r="AJ43" i="38" s="1"/>
  <c r="AJ54" i="38" s="1"/>
  <c r="AH63" i="36"/>
  <c r="AH64" i="36" s="1"/>
  <c r="AH36" i="38" s="1"/>
  <c r="AH43" i="38" s="1"/>
  <c r="AH54" i="38" s="1"/>
  <c r="AB63" i="36"/>
  <c r="AB64" i="36" s="1"/>
  <c r="AB36" i="38" s="1"/>
  <c r="AB43" i="38" s="1"/>
  <c r="AB54" i="38" s="1"/>
  <c r="AD63" i="36"/>
  <c r="AD64" i="36" s="1"/>
  <c r="AD36" i="38" s="1"/>
  <c r="AD43" i="38" s="1"/>
  <c r="AD54" i="38" s="1"/>
  <c r="AI63" i="36"/>
  <c r="AI64" i="36" s="1"/>
  <c r="AI36" i="38" s="1"/>
  <c r="AI43" i="38" s="1"/>
  <c r="AI54" i="38" s="1"/>
  <c r="AE63" i="36"/>
  <c r="AE64" i="36" s="1"/>
  <c r="AE36" i="38" s="1"/>
  <c r="AE43" i="38" s="1"/>
  <c r="AE54" i="38" s="1"/>
  <c r="AK63" i="36"/>
  <c r="AK64" i="36" s="1"/>
  <c r="AK36" i="38" s="1"/>
  <c r="AK43" i="38" s="1"/>
  <c r="AK54" i="38" s="1"/>
  <c r="AC63" i="36"/>
  <c r="AC64" i="36" s="1"/>
  <c r="AC36" i="38" s="1"/>
  <c r="AC43" i="38" s="1"/>
  <c r="AC54" i="38" s="1"/>
  <c r="AG63" i="36"/>
  <c r="AG64" i="36" s="1"/>
  <c r="AG36" i="38" s="1"/>
  <c r="AG43" i="38" s="1"/>
  <c r="AG54" i="38" s="1"/>
  <c r="AL63" i="36"/>
  <c r="AL64" i="36" s="1"/>
  <c r="AL36" i="38" s="1"/>
  <c r="AL43" i="38" s="1"/>
  <c r="AL54" i="38" s="1"/>
  <c r="AM38" i="38"/>
  <c r="AM62" i="36"/>
  <c r="Z54" i="37"/>
  <c r="Z55" i="37" s="1"/>
  <c r="Z56" i="37" s="1"/>
  <c r="Z67" i="36"/>
  <c r="Z68" i="36" s="1"/>
  <c r="V37" i="37"/>
  <c r="V44" i="37" s="1"/>
  <c r="V58" i="37" s="1"/>
  <c r="AQ7" i="21"/>
  <c r="AN60" i="36" s="1"/>
  <c r="AP5" i="21"/>
  <c r="AO9" i="21"/>
  <c r="AP8" i="21"/>
  <c r="E9" i="38"/>
  <c r="E10" i="45"/>
  <c r="E12" i="45" s="1"/>
  <c r="L6" i="45" s="1"/>
  <c r="E27" i="36"/>
  <c r="E13" i="39" s="1"/>
  <c r="E27" i="39" s="1"/>
  <c r="E23" i="45"/>
  <c r="E25" i="45" s="1"/>
  <c r="L8" i="45" s="1"/>
  <c r="AM42" i="37" l="1"/>
  <c r="F12" i="37" s="1"/>
  <c r="AN38" i="38"/>
  <c r="AN62" i="36"/>
  <c r="AB56" i="38"/>
  <c r="AC55" i="38" s="1"/>
  <c r="AC56" i="38" s="1"/>
  <c r="AD55" i="38" s="1"/>
  <c r="AD56" i="38" s="1"/>
  <c r="AE55" i="38" s="1"/>
  <c r="AE56" i="38" s="1"/>
  <c r="AF55" i="38" s="1"/>
  <c r="AF56" i="38" s="1"/>
  <c r="AG55" i="38" s="1"/>
  <c r="AG56" i="38" s="1"/>
  <c r="AH55" i="38" s="1"/>
  <c r="AH56" i="38" s="1"/>
  <c r="AI55" i="38" s="1"/>
  <c r="AI56" i="38" s="1"/>
  <c r="AJ55" i="38" s="1"/>
  <c r="AJ56" i="38" s="1"/>
  <c r="AK55" i="38" s="1"/>
  <c r="AK56" i="38" s="1"/>
  <c r="AL55" i="38" s="1"/>
  <c r="AL56" i="38" s="1"/>
  <c r="AM55" i="38" s="1"/>
  <c r="AA67" i="36"/>
  <c r="AA68" i="36" s="1"/>
  <c r="AA54" i="37"/>
  <c r="AA55" i="37" s="1"/>
  <c r="AA56" i="37" s="1"/>
  <c r="E29" i="36"/>
  <c r="AP9" i="21"/>
  <c r="AN42" i="37" s="1"/>
  <c r="AQ5" i="21"/>
  <c r="AR7" i="21"/>
  <c r="AO60" i="36" s="1"/>
  <c r="W37" i="37"/>
  <c r="W44" i="37" s="1"/>
  <c r="W58" i="37" s="1"/>
  <c r="AQ8" i="21"/>
  <c r="AO38" i="38" l="1"/>
  <c r="AO62" i="36"/>
  <c r="AB67" i="36"/>
  <c r="AB68" i="36" s="1"/>
  <c r="AB54" i="37"/>
  <c r="AB55" i="37" s="1"/>
  <c r="AB56" i="37" s="1"/>
  <c r="E20" i="39"/>
  <c r="L7" i="45"/>
  <c r="AS7" i="21"/>
  <c r="AP60" i="36" s="1"/>
  <c r="AR5" i="21"/>
  <c r="AQ9" i="21"/>
  <c r="AO42" i="37" s="1"/>
  <c r="X37" i="37"/>
  <c r="X44" i="37" s="1"/>
  <c r="X58" i="37" s="1"/>
  <c r="E30" i="36"/>
  <c r="AR8" i="21"/>
  <c r="AC67" i="36" l="1"/>
  <c r="AC68" i="36" s="1"/>
  <c r="AC54" i="37"/>
  <c r="AC55" i="37" s="1"/>
  <c r="AC56" i="37" s="1"/>
  <c r="AP38" i="38"/>
  <c r="AP62" i="36"/>
  <c r="AS8" i="21"/>
  <c r="Y37" i="37"/>
  <c r="Y44" i="37" s="1"/>
  <c r="Y58" i="37" s="1"/>
  <c r="AS5" i="21"/>
  <c r="AR9" i="21"/>
  <c r="AP42" i="37" s="1"/>
  <c r="AT7" i="21"/>
  <c r="AQ60" i="36" s="1"/>
  <c r="E31" i="36"/>
  <c r="AQ38" i="38" l="1"/>
  <c r="AQ62" i="36"/>
  <c r="AD54" i="37"/>
  <c r="AD55" i="37" s="1"/>
  <c r="AD56" i="37" s="1"/>
  <c r="AD67" i="36"/>
  <c r="AD68" i="36" s="1"/>
  <c r="E14" i="39"/>
  <c r="E28" i="39" s="1"/>
  <c r="D6" i="43"/>
  <c r="AS9" i="21"/>
  <c r="AQ42" i="37" s="1"/>
  <c r="AT5" i="21"/>
  <c r="E24" i="37"/>
  <c r="Z37" i="37"/>
  <c r="Z44" i="37" s="1"/>
  <c r="Z58" i="37" s="1"/>
  <c r="E7" i="38"/>
  <c r="AU7" i="21"/>
  <c r="AR60" i="36" s="1"/>
  <c r="AT8" i="21"/>
  <c r="AR38" i="38" l="1"/>
  <c r="AR62" i="36"/>
  <c r="AE54" i="37"/>
  <c r="AE55" i="37" s="1"/>
  <c r="AE56" i="37" s="1"/>
  <c r="AE67" i="36"/>
  <c r="AE68" i="36" s="1"/>
  <c r="AU8" i="21"/>
  <c r="AT9" i="21"/>
  <c r="AR42" i="37" s="1"/>
  <c r="AU5" i="21"/>
  <c r="D18" i="43"/>
  <c r="D10" i="43"/>
  <c r="D19" i="43" s="1"/>
  <c r="E14" i="38"/>
  <c r="AA37" i="37"/>
  <c r="AA44" i="37" s="1"/>
  <c r="AA58" i="37" s="1"/>
  <c r="E26" i="37"/>
  <c r="E25" i="37"/>
  <c r="AV7" i="21"/>
  <c r="AS60" i="36" s="1"/>
  <c r="AS38" i="38" l="1"/>
  <c r="AS62" i="36"/>
  <c r="AF54" i="37"/>
  <c r="AF55" i="37" s="1"/>
  <c r="AF56" i="37" s="1"/>
  <c r="AF67" i="36"/>
  <c r="AF68" i="36" s="1"/>
  <c r="AV8" i="21"/>
  <c r="AV5" i="21"/>
  <c r="AU9" i="21"/>
  <c r="AS42" i="37" s="1"/>
  <c r="AW7" i="21"/>
  <c r="AT60" i="36" s="1"/>
  <c r="E26" i="38"/>
  <c r="D27" i="38"/>
  <c r="K9" i="38" s="1"/>
  <c r="AB37" i="37"/>
  <c r="AB44" i="37" s="1"/>
  <c r="AB58" i="37" s="1"/>
  <c r="L7" i="37"/>
  <c r="D18" i="39"/>
  <c r="D16" i="39"/>
  <c r="D30" i="39" s="1"/>
  <c r="E25" i="38"/>
  <c r="G5" i="49" s="1"/>
  <c r="G7" i="49" l="1"/>
  <c r="G6" i="49"/>
  <c r="AT38" i="38"/>
  <c r="AT62" i="36"/>
  <c r="AG67" i="36"/>
  <c r="AG68" i="36" s="1"/>
  <c r="AG54" i="37"/>
  <c r="AG55" i="37" s="1"/>
  <c r="AG56" i="37" s="1"/>
  <c r="AC37" i="37"/>
  <c r="AC44" i="37" s="1"/>
  <c r="AC58" i="37" s="1"/>
  <c r="AX7" i="21"/>
  <c r="AU60" i="36" s="1"/>
  <c r="L8" i="38"/>
  <c r="G12" i="46"/>
  <c r="E7" i="37"/>
  <c r="AW5" i="21"/>
  <c r="AV9" i="21"/>
  <c r="AT42" i="37" s="1"/>
  <c r="AW8" i="21"/>
  <c r="G8" i="49" l="1"/>
  <c r="AU38" i="38"/>
  <c r="AU62" i="36"/>
  <c r="AH67" i="36"/>
  <c r="AH68" i="36" s="1"/>
  <c r="AH54" i="37"/>
  <c r="AH55" i="37" s="1"/>
  <c r="AH56" i="37" s="1"/>
  <c r="AX8" i="21"/>
  <c r="E14" i="37"/>
  <c r="G22" i="46"/>
  <c r="G21" i="46"/>
  <c r="G19" i="46"/>
  <c r="G20" i="46"/>
  <c r="G23" i="46"/>
  <c r="G14" i="46"/>
  <c r="AW9" i="21"/>
  <c r="AU42" i="37" s="1"/>
  <c r="AX5" i="21"/>
  <c r="AD37" i="37"/>
  <c r="AD44" i="37" s="1"/>
  <c r="AD58" i="37" s="1"/>
  <c r="D5" i="39"/>
  <c r="D4" i="39"/>
  <c r="D6" i="39"/>
  <c r="AY7" i="21"/>
  <c r="AV60" i="36" s="1"/>
  <c r="AI54" i="37" l="1"/>
  <c r="AI55" i="37" s="1"/>
  <c r="AI56" i="37" s="1"/>
  <c r="AI67" i="36"/>
  <c r="AI68" i="36" s="1"/>
  <c r="AV38" i="38"/>
  <c r="AV62" i="36"/>
  <c r="AE37" i="37"/>
  <c r="AE44" i="37" s="1"/>
  <c r="AE58" i="37" s="1"/>
  <c r="AX9" i="21"/>
  <c r="AV42" i="37" s="1"/>
  <c r="AY5" i="21"/>
  <c r="D19" i="39"/>
  <c r="L5" i="37"/>
  <c r="E28" i="37"/>
  <c r="D10" i="39"/>
  <c r="D15" i="39"/>
  <c r="D29" i="39" s="1"/>
  <c r="AZ7" i="21"/>
  <c r="AW60" i="36" s="1"/>
  <c r="AY8" i="21"/>
  <c r="AW38" i="38" l="1"/>
  <c r="AW62" i="36"/>
  <c r="AJ67" i="36"/>
  <c r="AJ68" i="36" s="1"/>
  <c r="AJ54" i="37"/>
  <c r="AJ55" i="37" s="1"/>
  <c r="AJ56" i="37" s="1"/>
  <c r="AY9" i="21"/>
  <c r="AW42" i="37" s="1"/>
  <c r="AZ5" i="21"/>
  <c r="AZ8" i="21"/>
  <c r="AF37" i="37"/>
  <c r="AF44" i="37" s="1"/>
  <c r="AF58" i="37" s="1"/>
  <c r="BA7" i="21"/>
  <c r="AX60" i="36" s="1"/>
  <c r="AK67" i="36" l="1"/>
  <c r="AK68" i="36" s="1"/>
  <c r="AK54" i="37"/>
  <c r="AK55" i="37" s="1"/>
  <c r="AK56" i="37" s="1"/>
  <c r="AX38" i="38"/>
  <c r="AX62" i="36"/>
  <c r="AG37" i="37"/>
  <c r="AG44" i="37" s="1"/>
  <c r="AG58" i="37" s="1"/>
  <c r="BA8" i="21"/>
  <c r="BB7" i="21"/>
  <c r="AY60" i="36" s="1"/>
  <c r="BA5" i="21"/>
  <c r="AZ9" i="21"/>
  <c r="AX42" i="37" s="1"/>
  <c r="AL54" i="37" l="1"/>
  <c r="AL55" i="37" s="1"/>
  <c r="AL56" i="37" s="1"/>
  <c r="AL67" i="36"/>
  <c r="AL68" i="36" s="1"/>
  <c r="AO63" i="36"/>
  <c r="AO64" i="36" s="1"/>
  <c r="AO36" i="38" s="1"/>
  <c r="AO43" i="38" s="1"/>
  <c r="AO54" i="38" s="1"/>
  <c r="AU63" i="36"/>
  <c r="AU64" i="36" s="1"/>
  <c r="AU36" i="38" s="1"/>
  <c r="AU43" i="38" s="1"/>
  <c r="AU54" i="38" s="1"/>
  <c r="AV63" i="36"/>
  <c r="AV64" i="36" s="1"/>
  <c r="AV36" i="38" s="1"/>
  <c r="AV43" i="38" s="1"/>
  <c r="AV54" i="38" s="1"/>
  <c r="AQ63" i="36"/>
  <c r="AQ64" i="36" s="1"/>
  <c r="AQ36" i="38" s="1"/>
  <c r="AQ43" i="38" s="1"/>
  <c r="AQ54" i="38" s="1"/>
  <c r="AT63" i="36"/>
  <c r="AT64" i="36" s="1"/>
  <c r="AT36" i="38" s="1"/>
  <c r="AT43" i="38" s="1"/>
  <c r="AT54" i="38" s="1"/>
  <c r="AM63" i="36"/>
  <c r="AM64" i="36" s="1"/>
  <c r="AM36" i="38" s="1"/>
  <c r="AM43" i="38" s="1"/>
  <c r="AM54" i="38" s="1"/>
  <c r="AM56" i="38" s="1"/>
  <c r="AN55" i="38" s="1"/>
  <c r="AP63" i="36"/>
  <c r="AP64" i="36" s="1"/>
  <c r="AP36" i="38" s="1"/>
  <c r="AP43" i="38" s="1"/>
  <c r="AP54" i="38" s="1"/>
  <c r="AX63" i="36"/>
  <c r="AX64" i="36" s="1"/>
  <c r="AX36" i="38" s="1"/>
  <c r="AX43" i="38" s="1"/>
  <c r="AX54" i="38" s="1"/>
  <c r="AS63" i="36"/>
  <c r="AS64" i="36" s="1"/>
  <c r="AS36" i="38" s="1"/>
  <c r="AS43" i="38" s="1"/>
  <c r="AS54" i="38" s="1"/>
  <c r="AN63" i="36"/>
  <c r="AN64" i="36" s="1"/>
  <c r="AN36" i="38" s="1"/>
  <c r="AN43" i="38" s="1"/>
  <c r="AN54" i="38" s="1"/>
  <c r="AR63" i="36"/>
  <c r="AR64" i="36" s="1"/>
  <c r="AR36" i="38" s="1"/>
  <c r="AR43" i="38" s="1"/>
  <c r="AR54" i="38" s="1"/>
  <c r="AW63" i="36"/>
  <c r="AW64" i="36" s="1"/>
  <c r="AW36" i="38" s="1"/>
  <c r="AW43" i="38" s="1"/>
  <c r="AW54" i="38" s="1"/>
  <c r="AY38" i="38"/>
  <c r="AY62" i="36"/>
  <c r="BB8" i="21"/>
  <c r="BA9" i="21"/>
  <c r="BB5" i="21"/>
  <c r="AH37" i="37"/>
  <c r="AH44" i="37" s="1"/>
  <c r="AH58" i="37" s="1"/>
  <c r="BC7" i="21"/>
  <c r="AZ60" i="36" s="1"/>
  <c r="F9" i="38"/>
  <c r="F23" i="45"/>
  <c r="F25" i="45" s="1"/>
  <c r="M8" i="45" s="1"/>
  <c r="F27" i="36"/>
  <c r="F13" i="39" s="1"/>
  <c r="F27" i="39" s="1"/>
  <c r="F10" i="45"/>
  <c r="F12" i="45" s="1"/>
  <c r="M6" i="45" s="1"/>
  <c r="AN56" i="38" l="1"/>
  <c r="AO55" i="38" s="1"/>
  <c r="AO56" i="38" s="1"/>
  <c r="AP55" i="38" s="1"/>
  <c r="AP56" i="38" s="1"/>
  <c r="AQ55" i="38" s="1"/>
  <c r="AQ56" i="38" s="1"/>
  <c r="AR55" i="38" s="1"/>
  <c r="AR56" i="38" s="1"/>
  <c r="AS55" i="38" s="1"/>
  <c r="AS56" i="38" s="1"/>
  <c r="AT55" i="38" s="1"/>
  <c r="AT56" i="38" s="1"/>
  <c r="AU55" i="38" s="1"/>
  <c r="AU56" i="38" s="1"/>
  <c r="AV55" i="38" s="1"/>
  <c r="AV56" i="38" s="1"/>
  <c r="AW55" i="38" s="1"/>
  <c r="AW56" i="38" s="1"/>
  <c r="AX55" i="38" s="1"/>
  <c r="AX56" i="38" s="1"/>
  <c r="AY55" i="38" s="1"/>
  <c r="AY42" i="37"/>
  <c r="G12" i="37" s="1"/>
  <c r="AM67" i="36"/>
  <c r="AM68" i="36" s="1"/>
  <c r="AM54" i="37"/>
  <c r="AM55" i="37" s="1"/>
  <c r="AM56" i="37" s="1"/>
  <c r="AZ38" i="38"/>
  <c r="AZ62" i="36"/>
  <c r="F29" i="36"/>
  <c r="AI37" i="37"/>
  <c r="AI44" i="37" s="1"/>
  <c r="AI58" i="37" s="1"/>
  <c r="BC5" i="21"/>
  <c r="BB9" i="21"/>
  <c r="AZ42" i="37" s="1"/>
  <c r="BD7" i="21"/>
  <c r="BA60" i="36" s="1"/>
  <c r="BC8" i="21"/>
  <c r="BA38" i="38" l="1"/>
  <c r="BA62" i="36"/>
  <c r="AN54" i="37"/>
  <c r="AN55" i="37" s="1"/>
  <c r="AN56" i="37" s="1"/>
  <c r="AN67" i="36"/>
  <c r="AN68" i="36" s="1"/>
  <c r="F20" i="39"/>
  <c r="M7" i="45"/>
  <c r="BD8" i="21"/>
  <c r="BD5" i="21"/>
  <c r="BC9" i="21"/>
  <c r="BA42" i="37" s="1"/>
  <c r="F30" i="36"/>
  <c r="BE7" i="21"/>
  <c r="BB60" i="36" s="1"/>
  <c r="AJ37" i="37"/>
  <c r="AJ44" i="37" s="1"/>
  <c r="AJ58" i="37" s="1"/>
  <c r="BB38" i="38" l="1"/>
  <c r="BB62" i="36"/>
  <c r="AO67" i="36"/>
  <c r="AO68" i="36" s="1"/>
  <c r="AO54" i="37"/>
  <c r="AO55" i="37" s="1"/>
  <c r="AO56" i="37" s="1"/>
  <c r="BE8" i="21"/>
  <c r="BF7" i="21"/>
  <c r="BC60" i="36" s="1"/>
  <c r="BE5" i="21"/>
  <c r="BD9" i="21"/>
  <c r="BB42" i="37" s="1"/>
  <c r="F31" i="36"/>
  <c r="AK37" i="37"/>
  <c r="AK44" i="37" s="1"/>
  <c r="AK58" i="37" s="1"/>
  <c r="BC38" i="38" l="1"/>
  <c r="BC62" i="36"/>
  <c r="AP54" i="37"/>
  <c r="AP55" i="37" s="1"/>
  <c r="AP56" i="37" s="1"/>
  <c r="AP67" i="36"/>
  <c r="AP68" i="36" s="1"/>
  <c r="F24" i="37"/>
  <c r="F7" i="38"/>
  <c r="E6" i="43"/>
  <c r="F14" i="39"/>
  <c r="F28" i="39" s="1"/>
  <c r="BG7" i="21"/>
  <c r="BD60" i="36" s="1"/>
  <c r="AL37" i="37"/>
  <c r="AL44" i="37" s="1"/>
  <c r="AL58" i="37" s="1"/>
  <c r="BF8" i="21"/>
  <c r="BE9" i="21"/>
  <c r="BC42" i="37" s="1"/>
  <c r="BF5" i="21"/>
  <c r="BD38" i="38" l="1"/>
  <c r="BD62" i="36"/>
  <c r="AQ67" i="36"/>
  <c r="AQ68" i="36" s="1"/>
  <c r="AQ54" i="37"/>
  <c r="AQ55" i="37" s="1"/>
  <c r="AQ56" i="37" s="1"/>
  <c r="BG8" i="21"/>
  <c r="E10" i="43"/>
  <c r="E19" i="43" s="1"/>
  <c r="E18" i="43"/>
  <c r="F26" i="37"/>
  <c r="F25" i="37"/>
  <c r="BG5" i="21"/>
  <c r="BF9" i="21"/>
  <c r="BD42" i="37" s="1"/>
  <c r="BH7" i="21"/>
  <c r="BE60" i="36" s="1"/>
  <c r="AM37" i="37"/>
  <c r="AM44" i="37" s="1"/>
  <c r="AM58" i="37" s="1"/>
  <c r="F14" i="38"/>
  <c r="BE38" i="38" l="1"/>
  <c r="BE62" i="36"/>
  <c r="AR67" i="36"/>
  <c r="AR68" i="36" s="1"/>
  <c r="AR54" i="37"/>
  <c r="AR55" i="37" s="1"/>
  <c r="AR56" i="37" s="1"/>
  <c r="BI7" i="21"/>
  <c r="BF60" i="36" s="1"/>
  <c r="M7" i="37"/>
  <c r="E18" i="39"/>
  <c r="E16" i="39"/>
  <c r="E30" i="39" s="1"/>
  <c r="F25" i="38"/>
  <c r="H5" i="49" s="1"/>
  <c r="F26" i="38"/>
  <c r="E27" i="38"/>
  <c r="L9" i="38" s="1"/>
  <c r="AN37" i="37"/>
  <c r="AN44" i="37" s="1"/>
  <c r="AN58" i="37" s="1"/>
  <c r="BH5" i="21"/>
  <c r="BG9" i="21"/>
  <c r="BE42" i="37" s="1"/>
  <c r="BH8" i="21"/>
  <c r="H7" i="49" l="1"/>
  <c r="H6" i="49"/>
  <c r="BF38" i="38"/>
  <c r="BF62" i="36"/>
  <c r="AS54" i="37"/>
  <c r="AS55" i="37" s="1"/>
  <c r="AS56" i="37" s="1"/>
  <c r="AS67" i="36"/>
  <c r="AS68" i="36" s="1"/>
  <c r="BI8" i="21"/>
  <c r="AO37" i="37"/>
  <c r="AO44" i="37" s="1"/>
  <c r="AO58" i="37" s="1"/>
  <c r="BI5" i="21"/>
  <c r="BH9" i="21"/>
  <c r="BF42" i="37" s="1"/>
  <c r="F7" i="37"/>
  <c r="M8" i="38"/>
  <c r="H12" i="46"/>
  <c r="BJ7" i="21"/>
  <c r="BG60" i="36" s="1"/>
  <c r="H8" i="49" l="1"/>
  <c r="AT54" i="37"/>
  <c r="AT55" i="37" s="1"/>
  <c r="AT56" i="37" s="1"/>
  <c r="AT67" i="36"/>
  <c r="AT68" i="36" s="1"/>
  <c r="BG38" i="38"/>
  <c r="BG62" i="36"/>
  <c r="BK7" i="21"/>
  <c r="BH60" i="36" s="1"/>
  <c r="E5" i="39"/>
  <c r="E4" i="39"/>
  <c r="E6" i="39"/>
  <c r="H22" i="46"/>
  <c r="H19" i="46"/>
  <c r="H20" i="46"/>
  <c r="H14" i="46"/>
  <c r="H23" i="46"/>
  <c r="H21" i="46"/>
  <c r="BI9" i="21"/>
  <c r="BG42" i="37" s="1"/>
  <c r="BJ5" i="21"/>
  <c r="F14" i="37"/>
  <c r="BJ8" i="21"/>
  <c r="AP37" i="37"/>
  <c r="AP44" i="37" s="1"/>
  <c r="AP58" i="37" s="1"/>
  <c r="BK8" i="21" l="1"/>
  <c r="BH38" i="38"/>
  <c r="BH62" i="36"/>
  <c r="AU54" i="37"/>
  <c r="AU55" i="37" s="1"/>
  <c r="AU56" i="37" s="1"/>
  <c r="AU67" i="36"/>
  <c r="AU68" i="36" s="1"/>
  <c r="M5" i="37"/>
  <c r="E19" i="39"/>
  <c r="E10" i="39"/>
  <c r="F28" i="37"/>
  <c r="E15" i="39"/>
  <c r="E29" i="39" s="1"/>
  <c r="BK5" i="21"/>
  <c r="BJ9" i="21"/>
  <c r="BH42" i="37" s="1"/>
  <c r="AQ37" i="37"/>
  <c r="AQ44" i="37" s="1"/>
  <c r="AQ58" i="37" s="1"/>
  <c r="BL7" i="21"/>
  <c r="BI60" i="36" s="1"/>
  <c r="AV67" i="36" l="1"/>
  <c r="AV68" i="36" s="1"/>
  <c r="AV54" i="37"/>
  <c r="AV55" i="37" s="1"/>
  <c r="AV56" i="37" s="1"/>
  <c r="BI38" i="38"/>
  <c r="BI62" i="36"/>
  <c r="BM7" i="21"/>
  <c r="BJ60" i="36" s="1"/>
  <c r="AR37" i="37"/>
  <c r="AR44" i="37" s="1"/>
  <c r="AR58" i="37" s="1"/>
  <c r="BK9" i="21"/>
  <c r="BI42" i="37" s="1"/>
  <c r="BL5" i="21"/>
  <c r="BL8" i="21"/>
  <c r="BJ38" i="38" l="1"/>
  <c r="BJ62" i="36"/>
  <c r="AW67" i="36"/>
  <c r="AW68" i="36" s="1"/>
  <c r="AW54" i="37"/>
  <c r="AW55" i="37" s="1"/>
  <c r="AW56" i="37" s="1"/>
  <c r="BM8" i="21"/>
  <c r="BM5" i="21"/>
  <c r="BL9" i="21"/>
  <c r="BJ42" i="37" s="1"/>
  <c r="AS37" i="37"/>
  <c r="AS44" i="37" s="1"/>
  <c r="AS58" i="37" s="1"/>
  <c r="G10" i="45"/>
  <c r="G12" i="45" s="1"/>
  <c r="N6" i="45" s="1"/>
  <c r="G23" i="45"/>
  <c r="G25" i="45" s="1"/>
  <c r="N8" i="45" s="1"/>
  <c r="G27" i="36"/>
  <c r="G13" i="39" s="1"/>
  <c r="G27" i="39" s="1"/>
  <c r="AX67" i="36" l="1"/>
  <c r="AX68" i="36" s="1"/>
  <c r="AX54" i="37"/>
  <c r="AX55" i="37" s="1"/>
  <c r="AX56" i="37" s="1"/>
  <c r="AZ63" i="36"/>
  <c r="AZ64" i="36" s="1"/>
  <c r="AZ36" i="38" s="1"/>
  <c r="AZ43" i="38" s="1"/>
  <c r="AZ54" i="38" s="1"/>
  <c r="BE63" i="36"/>
  <c r="BE64" i="36" s="1"/>
  <c r="BE36" i="38" s="1"/>
  <c r="BE43" i="38" s="1"/>
  <c r="BE54" i="38" s="1"/>
  <c r="BJ63" i="36"/>
  <c r="BJ64" i="36" s="1"/>
  <c r="BJ36" i="38" s="1"/>
  <c r="BJ43" i="38" s="1"/>
  <c r="BJ54" i="38" s="1"/>
  <c r="BF63" i="36"/>
  <c r="BF64" i="36" s="1"/>
  <c r="BF36" i="38" s="1"/>
  <c r="BF43" i="38" s="1"/>
  <c r="BF54" i="38" s="1"/>
  <c r="BI63" i="36"/>
  <c r="BI64" i="36" s="1"/>
  <c r="BI36" i="38" s="1"/>
  <c r="BI43" i="38" s="1"/>
  <c r="BI54" i="38" s="1"/>
  <c r="AY63" i="36"/>
  <c r="AY64" i="36" s="1"/>
  <c r="AY36" i="38" s="1"/>
  <c r="AY43" i="38" s="1"/>
  <c r="AY54" i="38" s="1"/>
  <c r="AY56" i="38" s="1"/>
  <c r="AZ55" i="38" s="1"/>
  <c r="BA63" i="36"/>
  <c r="BA64" i="36" s="1"/>
  <c r="BA36" i="38" s="1"/>
  <c r="BA43" i="38" s="1"/>
  <c r="BA54" i="38" s="1"/>
  <c r="BB63" i="36"/>
  <c r="BB64" i="36" s="1"/>
  <c r="BB36" i="38" s="1"/>
  <c r="BB43" i="38" s="1"/>
  <c r="BB54" i="38" s="1"/>
  <c r="BG63" i="36"/>
  <c r="BG64" i="36" s="1"/>
  <c r="BG36" i="38" s="1"/>
  <c r="BG43" i="38" s="1"/>
  <c r="BG54" i="38" s="1"/>
  <c r="BC63" i="36"/>
  <c r="BC64" i="36" s="1"/>
  <c r="BC36" i="38" s="1"/>
  <c r="BC43" i="38" s="1"/>
  <c r="BC54" i="38" s="1"/>
  <c r="BD63" i="36"/>
  <c r="BD64" i="36" s="1"/>
  <c r="BD36" i="38" s="1"/>
  <c r="BD43" i="38" s="1"/>
  <c r="BD54" i="38" s="1"/>
  <c r="BH63" i="36"/>
  <c r="BH64" i="36" s="1"/>
  <c r="BH36" i="38" s="1"/>
  <c r="BH43" i="38" s="1"/>
  <c r="BH54" i="38" s="1"/>
  <c r="BM9" i="21"/>
  <c r="G9" i="38"/>
  <c r="AT37" i="37"/>
  <c r="AT44" i="37" s="1"/>
  <c r="AT58" i="37" s="1"/>
  <c r="G29" i="36"/>
  <c r="AZ56" i="38" l="1"/>
  <c r="BA55" i="38" s="1"/>
  <c r="BA56" i="38" s="1"/>
  <c r="BB55" i="38" s="1"/>
  <c r="BB56" i="38" s="1"/>
  <c r="BC55" i="38" s="1"/>
  <c r="BC56" i="38" s="1"/>
  <c r="BD55" i="38" s="1"/>
  <c r="BD56" i="38" s="1"/>
  <c r="BE55" i="38" s="1"/>
  <c r="BE56" i="38" s="1"/>
  <c r="BF55" i="38" s="1"/>
  <c r="BF56" i="38" s="1"/>
  <c r="BG55" i="38" s="1"/>
  <c r="BG56" i="38" s="1"/>
  <c r="BH55" i="38" s="1"/>
  <c r="BH56" i="38" s="1"/>
  <c r="BI55" i="38" s="1"/>
  <c r="BI56" i="38" s="1"/>
  <c r="BJ55" i="38" s="1"/>
  <c r="BJ56" i="38" s="1"/>
  <c r="BK42" i="37"/>
  <c r="H12" i="37" s="1"/>
  <c r="AY54" i="37"/>
  <c r="AY55" i="37" s="1"/>
  <c r="AY56" i="37" s="1"/>
  <c r="AY67" i="36"/>
  <c r="AY68" i="36" s="1"/>
  <c r="G20" i="39"/>
  <c r="N7" i="45"/>
  <c r="G30" i="36"/>
  <c r="AU37" i="37"/>
  <c r="AU44" i="37" s="1"/>
  <c r="AU58" i="37" s="1"/>
  <c r="AZ67" i="36" l="1"/>
  <c r="AZ68" i="36" s="1"/>
  <c r="AZ54" i="37"/>
  <c r="AZ55" i="37" s="1"/>
  <c r="AZ56" i="37" s="1"/>
  <c r="AV37" i="37"/>
  <c r="AV44" i="37" s="1"/>
  <c r="AV58" i="37" s="1"/>
  <c r="G31" i="36"/>
  <c r="BA54" i="37" l="1"/>
  <c r="BA55" i="37" s="1"/>
  <c r="BA56" i="37" s="1"/>
  <c r="BA67" i="36"/>
  <c r="BA68" i="36" s="1"/>
  <c r="G14" i="39"/>
  <c r="G28" i="39" s="1"/>
  <c r="F6" i="43"/>
  <c r="G7" i="38"/>
  <c r="AW37" i="37"/>
  <c r="AW44" i="37" s="1"/>
  <c r="AW58" i="37" s="1"/>
  <c r="BB67" i="36" l="1"/>
  <c r="BB68" i="36" s="1"/>
  <c r="BB54" i="37"/>
  <c r="BB55" i="37" s="1"/>
  <c r="BB56" i="37" s="1"/>
  <c r="G14" i="38"/>
  <c r="AX37" i="37"/>
  <c r="AX44" i="37" s="1"/>
  <c r="AX58" i="37" s="1"/>
  <c r="G24" i="37"/>
  <c r="F10" i="43"/>
  <c r="F19" i="43" s="1"/>
  <c r="F18" i="43"/>
  <c r="G6" i="43"/>
  <c r="G10" i="43" s="1"/>
  <c r="BC67" i="36" l="1"/>
  <c r="BC68" i="36" s="1"/>
  <c r="BC54" i="37"/>
  <c r="BC55" i="37" s="1"/>
  <c r="BC56" i="37" s="1"/>
  <c r="G25" i="38"/>
  <c r="I5" i="49" s="1"/>
  <c r="G26" i="37"/>
  <c r="G25" i="37"/>
  <c r="AY37" i="37"/>
  <c r="AY44" i="37" s="1"/>
  <c r="AY58" i="37" s="1"/>
  <c r="I7" i="49" l="1"/>
  <c r="I8" i="49" s="1"/>
  <c r="I6" i="49"/>
  <c r="BD67" i="36"/>
  <c r="BD68" i="36" s="1"/>
  <c r="BD54" i="37"/>
  <c r="BD55" i="37" s="1"/>
  <c r="BD56" i="37" s="1"/>
  <c r="F18" i="39"/>
  <c r="N7" i="37"/>
  <c r="F16" i="39"/>
  <c r="F30" i="39" s="1"/>
  <c r="AZ37" i="37"/>
  <c r="AZ44" i="37" s="1"/>
  <c r="AZ58" i="37" s="1"/>
  <c r="G26" i="38"/>
  <c r="F27" i="38"/>
  <c r="M9" i="38" s="1"/>
  <c r="N8" i="38"/>
  <c r="I12" i="46"/>
  <c r="J12" i="46" s="1"/>
  <c r="BE67" i="36" l="1"/>
  <c r="BE68" i="36" s="1"/>
  <c r="BE54" i="37"/>
  <c r="BE55" i="37" s="1"/>
  <c r="BE56" i="37" s="1"/>
  <c r="BA37" i="37"/>
  <c r="BA44" i="37" s="1"/>
  <c r="BA58" i="37" s="1"/>
  <c r="I22" i="46"/>
  <c r="J22" i="46" s="1"/>
  <c r="I19" i="46"/>
  <c r="J19" i="46" s="1"/>
  <c r="I20" i="46"/>
  <c r="J20" i="46" s="1"/>
  <c r="I21" i="46"/>
  <c r="J21" i="46" s="1"/>
  <c r="I23" i="46"/>
  <c r="J23" i="46" s="1"/>
  <c r="I14" i="46"/>
  <c r="B28" i="46"/>
  <c r="G7" i="37"/>
  <c r="BF54" i="37" l="1"/>
  <c r="BF55" i="37" s="1"/>
  <c r="BF56" i="37" s="1"/>
  <c r="BF67" i="36"/>
  <c r="BF68" i="36" s="1"/>
  <c r="E30" i="46"/>
  <c r="F31" i="46"/>
  <c r="L31" i="46" s="1"/>
  <c r="G14" i="37"/>
  <c r="E31" i="46"/>
  <c r="E34" i="46"/>
  <c r="G34" i="46"/>
  <c r="E33" i="46"/>
  <c r="G33" i="46"/>
  <c r="G31" i="46"/>
  <c r="F30" i="46"/>
  <c r="G30" i="46"/>
  <c r="F33" i="46"/>
  <c r="E32" i="46"/>
  <c r="G32" i="46"/>
  <c r="F32" i="46"/>
  <c r="F34" i="46"/>
  <c r="BB37" i="37"/>
  <c r="BB44" i="37" s="1"/>
  <c r="BB58" i="37" s="1"/>
  <c r="F4" i="39"/>
  <c r="F5" i="39"/>
  <c r="F6" i="39"/>
  <c r="BG67" i="36" l="1"/>
  <c r="BG68" i="36" s="1"/>
  <c r="BG54" i="37"/>
  <c r="BG55" i="37" s="1"/>
  <c r="BG56" i="37" s="1"/>
  <c r="R30" i="46"/>
  <c r="K42" i="46" s="1"/>
  <c r="L30" i="46"/>
  <c r="K51" i="46" s="1"/>
  <c r="L32" i="46"/>
  <c r="M51" i="46" s="1"/>
  <c r="R32" i="46"/>
  <c r="M42" i="46" s="1"/>
  <c r="BC37" i="37"/>
  <c r="BC44" i="37" s="1"/>
  <c r="BC58" i="37" s="1"/>
  <c r="S32" i="46"/>
  <c r="S42" i="46" s="1"/>
  <c r="M32" i="46"/>
  <c r="S51" i="46" s="1"/>
  <c r="K33" i="46"/>
  <c r="H51" i="46" s="1"/>
  <c r="Q33" i="46"/>
  <c r="H42" i="46" s="1"/>
  <c r="G28" i="37"/>
  <c r="F10" i="39"/>
  <c r="N5" i="37"/>
  <c r="F19" i="39"/>
  <c r="F15" i="39"/>
  <c r="F29" i="39" s="1"/>
  <c r="K32" i="46"/>
  <c r="G51" i="46" s="1"/>
  <c r="Q32" i="46"/>
  <c r="G42" i="46" s="1"/>
  <c r="M31" i="46"/>
  <c r="R51" i="46" s="1"/>
  <c r="S31" i="46"/>
  <c r="R42" i="46" s="1"/>
  <c r="M34" i="46"/>
  <c r="U51" i="46" s="1"/>
  <c r="S34" i="46"/>
  <c r="U42" i="46" s="1"/>
  <c r="K30" i="46"/>
  <c r="E51" i="46" s="1"/>
  <c r="Q30" i="46"/>
  <c r="E42" i="46" s="1"/>
  <c r="R33" i="46"/>
  <c r="N42" i="46" s="1"/>
  <c r="L33" i="46"/>
  <c r="N51" i="46" s="1"/>
  <c r="S33" i="46"/>
  <c r="T42" i="46" s="1"/>
  <c r="M33" i="46"/>
  <c r="T51" i="46" s="1"/>
  <c r="K34" i="46"/>
  <c r="I51" i="46" s="1"/>
  <c r="Q34" i="46"/>
  <c r="I42" i="46" s="1"/>
  <c r="L34" i="46"/>
  <c r="O51" i="46" s="1"/>
  <c r="R34" i="46"/>
  <c r="O42" i="46" s="1"/>
  <c r="M30" i="46"/>
  <c r="Q51" i="46" s="1"/>
  <c r="S30" i="46"/>
  <c r="Q42" i="46" s="1"/>
  <c r="L51" i="46"/>
  <c r="R31" i="46"/>
  <c r="L42" i="46" s="1"/>
  <c r="K31" i="46"/>
  <c r="F51" i="46" s="1"/>
  <c r="Q31" i="46"/>
  <c r="F42" i="46" s="1"/>
  <c r="BH67" i="36" l="1"/>
  <c r="BH68" i="36" s="1"/>
  <c r="BH54" i="37"/>
  <c r="BH55" i="37" s="1"/>
  <c r="BH56" i="37" s="1"/>
  <c r="BD37" i="37"/>
  <c r="BD44" i="37" s="1"/>
  <c r="BD58" i="37" s="1"/>
  <c r="BI67" i="36" l="1"/>
  <c r="BI68" i="36" s="1"/>
  <c r="BI54" i="37"/>
  <c r="BI55" i="37" s="1"/>
  <c r="BI56" i="37" s="1"/>
  <c r="BE37" i="37"/>
  <c r="BE44" i="37" s="1"/>
  <c r="BE58" i="37" s="1"/>
  <c r="BJ54" i="37" l="1"/>
  <c r="BJ55" i="37" s="1"/>
  <c r="BJ56" i="37" s="1"/>
  <c r="BJ67" i="36"/>
  <c r="BJ68" i="36" s="1"/>
  <c r="BK54" i="37" s="1"/>
  <c r="BK55" i="37" s="1"/>
  <c r="BK56" i="37" s="1"/>
  <c r="BF37" i="37"/>
  <c r="BF44" i="37" s="1"/>
  <c r="BF58" i="37" s="1"/>
  <c r="BG37" i="37" l="1"/>
  <c r="BG44" i="37" s="1"/>
  <c r="BG58" i="37" s="1"/>
  <c r="BH37" i="37" l="1"/>
  <c r="BH44" i="37" s="1"/>
  <c r="BH58" i="37" s="1"/>
  <c r="H24" i="37" l="1"/>
  <c r="BI37" i="37"/>
  <c r="BI44" i="37" s="1"/>
  <c r="BI58" i="37" s="1"/>
  <c r="BJ37" i="37" l="1"/>
  <c r="BJ44" i="37" s="1"/>
  <c r="BJ58" i="37" s="1"/>
  <c r="H25" i="37"/>
  <c r="H26" i="37"/>
  <c r="BK37" i="37" l="1"/>
  <c r="BK44" i="37" s="1"/>
  <c r="BK58" i="37" s="1"/>
  <c r="O7" i="37"/>
  <c r="G18" i="39"/>
  <c r="G16" i="39"/>
  <c r="G30" i="39" s="1"/>
  <c r="G27" i="38" l="1"/>
  <c r="N9" i="38" s="1"/>
  <c r="H7" i="37" l="1"/>
  <c r="H14" i="37" l="1"/>
  <c r="G4" i="39"/>
  <c r="G5" i="39"/>
  <c r="G6" i="39"/>
  <c r="G10" i="39" l="1"/>
  <c r="H28" i="37"/>
  <c r="O5" i="37"/>
  <c r="G19" i="39"/>
  <c r="G15" i="39"/>
  <c r="G29" i="39" s="1"/>
  <c r="J14" i="46" l="1"/>
  <c r="J13" i="46"/>
  <c r="E41" i="46"/>
  <c r="K41" i="46" l="1"/>
  <c r="E43" i="46"/>
  <c r="K43" i="46" l="1"/>
  <c r="K46" i="46" s="1"/>
  <c r="Q41" i="46"/>
  <c r="E50" i="46"/>
  <c r="E47" i="46"/>
  <c r="E49" i="46"/>
  <c r="E52" i="46"/>
  <c r="E46" i="46"/>
  <c r="Q43" i="46" l="1"/>
  <c r="K50" i="46"/>
  <c r="K52" i="46"/>
  <c r="K47" i="46"/>
  <c r="K49" i="46"/>
  <c r="Q49" i="46" l="1"/>
  <c r="Q52" i="46"/>
  <c r="Q47" i="46"/>
  <c r="Q50" i="46"/>
  <c r="Q46" i="46"/>
  <c r="G41" i="46"/>
  <c r="I41" i="46"/>
  <c r="I43" i="46" s="1"/>
  <c r="H41" i="46"/>
  <c r="F41" i="46"/>
  <c r="F43" i="46" s="1"/>
  <c r="I52" i="46" l="1"/>
  <c r="I49" i="46"/>
  <c r="I50" i="46"/>
  <c r="I47" i="46"/>
  <c r="F52" i="46"/>
  <c r="F47" i="46"/>
  <c r="F49" i="46"/>
  <c r="F50" i="46"/>
  <c r="I46" i="46"/>
  <c r="M41" i="46"/>
  <c r="H43" i="46"/>
  <c r="H46" i="46" s="1"/>
  <c r="F46" i="46"/>
  <c r="L41" i="46"/>
  <c r="O41" i="46"/>
  <c r="N41" i="46"/>
  <c r="G43" i="46"/>
  <c r="G50" i="46" l="1"/>
  <c r="G47" i="46"/>
  <c r="G52" i="46"/>
  <c r="G49" i="46"/>
  <c r="H47" i="46"/>
  <c r="H49" i="46"/>
  <c r="H50" i="46"/>
  <c r="H52" i="46"/>
  <c r="O43" i="46"/>
  <c r="U41" i="46"/>
  <c r="N43" i="46"/>
  <c r="N46" i="46" s="1"/>
  <c r="T41" i="46"/>
  <c r="S41" i="46"/>
  <c r="M43" i="46"/>
  <c r="L43" i="46"/>
  <c r="R41" i="46"/>
  <c r="G46" i="46"/>
  <c r="L52" i="46" l="1"/>
  <c r="L47" i="46"/>
  <c r="L50" i="46"/>
  <c r="L49" i="46"/>
  <c r="O47" i="46"/>
  <c r="O52" i="46"/>
  <c r="O49" i="46"/>
  <c r="O50" i="46"/>
  <c r="M47" i="46"/>
  <c r="M52" i="46"/>
  <c r="M49" i="46"/>
  <c r="M50" i="46"/>
  <c r="T43" i="46"/>
  <c r="T46" i="46" s="1"/>
  <c r="R43" i="46"/>
  <c r="M46" i="46"/>
  <c r="N50" i="46"/>
  <c r="N49" i="46"/>
  <c r="N52" i="46"/>
  <c r="N47" i="46"/>
  <c r="L46" i="46"/>
  <c r="S43" i="46"/>
  <c r="U43" i="46"/>
  <c r="O46" i="46"/>
  <c r="R50" i="46" l="1"/>
  <c r="R47" i="46"/>
  <c r="R49" i="46"/>
  <c r="R52" i="46"/>
  <c r="R46" i="46"/>
  <c r="S50" i="46"/>
  <c r="S47" i="46"/>
  <c r="S52" i="46"/>
  <c r="S49" i="46"/>
  <c r="S46" i="46"/>
  <c r="U49" i="46"/>
  <c r="U50" i="46"/>
  <c r="U52" i="46"/>
  <c r="U47" i="46"/>
  <c r="U46" i="46"/>
  <c r="T49" i="46"/>
  <c r="T50" i="46"/>
  <c r="T52" i="46"/>
  <c r="T47" i="46"/>
</calcChain>
</file>

<file path=xl/sharedStrings.xml><?xml version="1.0" encoding="utf-8"?>
<sst xmlns="http://schemas.openxmlformats.org/spreadsheetml/2006/main" count="527" uniqueCount="312">
  <si>
    <t>Interest</t>
  </si>
  <si>
    <t>ASSETS</t>
  </si>
  <si>
    <t>Cash</t>
  </si>
  <si>
    <t>LIABILITIES</t>
  </si>
  <si>
    <t>Inventory</t>
  </si>
  <si>
    <t>SHAREHOLDER'S EQUITY</t>
  </si>
  <si>
    <t>Accounts Payable</t>
  </si>
  <si>
    <t>RE (Deficit) Opening</t>
  </si>
  <si>
    <t>RE (Deficit) Ending</t>
  </si>
  <si>
    <t>Loan Amount</t>
  </si>
  <si>
    <t>EAR</t>
  </si>
  <si>
    <t>Payments (in months)</t>
  </si>
  <si>
    <t>Net Book Value</t>
  </si>
  <si>
    <t>Book Value</t>
  </si>
  <si>
    <t>Assumptions - Straight Line Method</t>
  </si>
  <si>
    <t>Original Cost</t>
  </si>
  <si>
    <t>Useful Life (years)</t>
  </si>
  <si>
    <t>Total Assets</t>
  </si>
  <si>
    <t>Amortization</t>
  </si>
  <si>
    <t>Monthly Amortization</t>
  </si>
  <si>
    <t>Accum. Amort.</t>
  </si>
  <si>
    <t>Accounts Receivable</t>
  </si>
  <si>
    <t>Federal Tax Rate</t>
  </si>
  <si>
    <t>Company Name:</t>
  </si>
  <si>
    <t>Starting Month and Year:</t>
  </si>
  <si>
    <t>Opening</t>
  </si>
  <si>
    <t>Description</t>
  </si>
  <si>
    <t>Prepaid Expenses</t>
  </si>
  <si>
    <t>Pro Forma Income Statement</t>
  </si>
  <si>
    <t>Revenue</t>
  </si>
  <si>
    <t>Expenses</t>
  </si>
  <si>
    <t>Gross margin</t>
  </si>
  <si>
    <t>Income taxes</t>
  </si>
  <si>
    <t>Net income (loss)</t>
  </si>
  <si>
    <t>Current assets</t>
  </si>
  <si>
    <t>Long term assets</t>
  </si>
  <si>
    <t>Current liabilities</t>
  </si>
  <si>
    <t>Owner's equity</t>
  </si>
  <si>
    <t>Retained earnings</t>
  </si>
  <si>
    <t>Total shareholder's equity</t>
  </si>
  <si>
    <t>Cash provided from (used in):</t>
  </si>
  <si>
    <t>CASH FLOW FROM (USED IN) OPERATING ACTIVITIES:</t>
  </si>
  <si>
    <t>Adjustments for:</t>
  </si>
  <si>
    <t>CASH FLOW FROM (USED IN) FINANCING ACTIVITIES:</t>
  </si>
  <si>
    <t>Issuance of debt</t>
  </si>
  <si>
    <t>Issuance of share capital</t>
  </si>
  <si>
    <t>Repayment of debt</t>
  </si>
  <si>
    <t>Additions to capital assets</t>
  </si>
  <si>
    <t>Change in cash</t>
  </si>
  <si>
    <t>Cash. Beginning of year</t>
  </si>
  <si>
    <t>Cash, end of year</t>
  </si>
  <si>
    <t>Payment Terms</t>
  </si>
  <si>
    <t>Tax Rate</t>
  </si>
  <si>
    <t>(previous months days outstanding)</t>
  </si>
  <si>
    <t>As a Percent of Revenue</t>
  </si>
  <si>
    <t>Loan Amortization Schedule</t>
  </si>
  <si>
    <t>Assumptions</t>
  </si>
  <si>
    <t>Earnings (loss) before taxes</t>
  </si>
  <si>
    <t>EBITDA</t>
  </si>
  <si>
    <t>Account payable</t>
  </si>
  <si>
    <t>(Increase)/decrease in accounts receivable</t>
  </si>
  <si>
    <t>(Increase)/decrease in inventory</t>
  </si>
  <si>
    <t>(Increase)/decrease in prepaid expenses</t>
  </si>
  <si>
    <t>CASH FLOW FROM (USED IN) INVESTING ACTIVITIES:</t>
  </si>
  <si>
    <t>Increase/(decrease) in accounts payable</t>
  </si>
  <si>
    <t>Company Information</t>
  </si>
  <si>
    <t>(days COGS in inventory)</t>
  </si>
  <si>
    <t>Current</t>
  </si>
  <si>
    <t xml:space="preserve">Quick </t>
  </si>
  <si>
    <t>Account receivable turnover</t>
  </si>
  <si>
    <t>Inventory turnover</t>
  </si>
  <si>
    <t>Profitability ratios</t>
  </si>
  <si>
    <t>Liquidity ratios</t>
  </si>
  <si>
    <t>Activity ratios</t>
  </si>
  <si>
    <t>Net profit margin</t>
  </si>
  <si>
    <t>Return on assets</t>
  </si>
  <si>
    <t>Return on equity</t>
  </si>
  <si>
    <t>Leverage</t>
  </si>
  <si>
    <t>Debt to equity</t>
  </si>
  <si>
    <t>Debt to assets</t>
  </si>
  <si>
    <t>Interest coverage</t>
  </si>
  <si>
    <t>Total asset turnover</t>
  </si>
  <si>
    <t>Operating margin</t>
  </si>
  <si>
    <t>Acid Test</t>
  </si>
  <si>
    <t>Depreciation and amortization</t>
  </si>
  <si>
    <t>Selling price</t>
  </si>
  <si>
    <t>Variable costs</t>
  </si>
  <si>
    <t>Breakeven even units</t>
  </si>
  <si>
    <t>Breakeven sales</t>
  </si>
  <si>
    <t>Salaries and wages</t>
  </si>
  <si>
    <t>Accounts receivable</t>
  </si>
  <si>
    <t>Prepaid expenses</t>
  </si>
  <si>
    <t>Pro Forma Balance Sheet</t>
  </si>
  <si>
    <t>Pro Forma Statement of Cash Flows</t>
  </si>
  <si>
    <t>Currency</t>
  </si>
  <si>
    <t>`</t>
  </si>
  <si>
    <t>Sales and advertising</t>
  </si>
  <si>
    <t>Depreciation and amortization expense</t>
  </si>
  <si>
    <t>Interest expense</t>
  </si>
  <si>
    <t>Long term loan</t>
  </si>
  <si>
    <t>Required Start Up Funds</t>
  </si>
  <si>
    <t>Fixed Assets</t>
  </si>
  <si>
    <t>Total Fixed Assets</t>
  </si>
  <si>
    <t>Operating Capital</t>
  </si>
  <si>
    <t>Total Operating Assets</t>
  </si>
  <si>
    <t>Sources of Funding</t>
  </si>
  <si>
    <t>Owner's Equity</t>
  </si>
  <si>
    <t>Outside Investors</t>
  </si>
  <si>
    <t>Additional Loans or Debt</t>
  </si>
  <si>
    <t>Other Bank Debt</t>
  </si>
  <si>
    <t>Total Required Funds</t>
  </si>
  <si>
    <t>Startup Expenses</t>
  </si>
  <si>
    <t>Post Financing Liabilities</t>
  </si>
  <si>
    <t>Post Financing Investments</t>
  </si>
  <si>
    <t>Total Startup Expenses</t>
  </si>
  <si>
    <t>Startup Assets</t>
  </si>
  <si>
    <t>Total Planned Investment</t>
  </si>
  <si>
    <t>Total Requirements</t>
  </si>
  <si>
    <t>Post Financing Funding</t>
  </si>
  <si>
    <t>Total Liabilities</t>
  </si>
  <si>
    <t>Total Startup Assets</t>
  </si>
  <si>
    <t>Total Funding</t>
  </si>
  <si>
    <t>Owner</t>
  </si>
  <si>
    <t>Investor</t>
  </si>
  <si>
    <t>info@mikelconsulting.com</t>
  </si>
  <si>
    <t>www.mikelconsulting.com</t>
  </si>
  <si>
    <t>For any questions or concerns please contact Mikel Consulting at:</t>
  </si>
  <si>
    <t>To start simply enter the company name below</t>
  </si>
  <si>
    <t>Interest Rate</t>
  </si>
  <si>
    <t>Total Investments</t>
  </si>
  <si>
    <t>Principle</t>
  </si>
  <si>
    <t>Loan Balance</t>
  </si>
  <si>
    <t>Loan</t>
  </si>
  <si>
    <t>Mortgage</t>
  </si>
  <si>
    <t>Salaries and Wages</t>
  </si>
  <si>
    <t>Sales and Advertising</t>
  </si>
  <si>
    <t>Loans</t>
  </si>
  <si>
    <t>Growth</t>
  </si>
  <si>
    <t>General &amp; Administrative Expenses</t>
  </si>
  <si>
    <t>Sales and Marketing</t>
  </si>
  <si>
    <t>Monthly Rate</t>
  </si>
  <si>
    <t>Monthly Payment</t>
  </si>
  <si>
    <t>Projected Sales Forecast</t>
  </si>
  <si>
    <t>Total Sources of Funding</t>
  </si>
  <si>
    <t>Amortization of Property, Plant and Equipment</t>
  </si>
  <si>
    <r>
      <t xml:space="preserve">To use this model, simply complete any information asked for found in the </t>
    </r>
    <r>
      <rPr>
        <sz val="10"/>
        <color indexed="8"/>
        <rFont val="Calibri"/>
        <family val="2"/>
      </rPr>
      <t>color yellow.</t>
    </r>
  </si>
  <si>
    <r>
      <t>Example:</t>
    </r>
    <r>
      <rPr>
        <sz val="10"/>
        <rFont val="Calibri"/>
        <family val="2"/>
      </rPr>
      <t xml:space="preserve">  Fill in boxes that look like this</t>
    </r>
  </si>
  <si>
    <t>Contribution margin (per unit)</t>
  </si>
  <si>
    <t>Contribution Margin</t>
  </si>
  <si>
    <t>Break Even Analysis</t>
  </si>
  <si>
    <t xml:space="preserve">Units </t>
  </si>
  <si>
    <t xml:space="preserve">Revenue </t>
  </si>
  <si>
    <t>Fixed Costs (FC)</t>
  </si>
  <si>
    <t>Variable Cost (VC)</t>
  </si>
  <si>
    <t>Total Cost (FC+VC)</t>
  </si>
  <si>
    <t xml:space="preserve">Net Profit </t>
  </si>
  <si>
    <t>Total Revenue</t>
  </si>
  <si>
    <t>Direct Cost of Revenue</t>
  </si>
  <si>
    <t>Total Direct Cost of Revenue</t>
  </si>
  <si>
    <t>5 years</t>
  </si>
  <si>
    <t>Gross profit</t>
  </si>
  <si>
    <t>Net Income</t>
  </si>
  <si>
    <t>EBITDA margin</t>
  </si>
  <si>
    <t>Profit margin</t>
  </si>
  <si>
    <t>Revenue Per Distribution Channel</t>
  </si>
  <si>
    <t>Financial Highlights</t>
  </si>
  <si>
    <t>Ratio Analysis</t>
  </si>
  <si>
    <t>Best Case Scenario (Revenues Increased by 15%)</t>
  </si>
  <si>
    <t>Worst Case Scenario (Revenues Decreased by 15%)</t>
  </si>
  <si>
    <t>% of Wage</t>
  </si>
  <si>
    <t>Social Security</t>
  </si>
  <si>
    <t>Medicare</t>
  </si>
  <si>
    <t>Federal Unemployment Tax (FUTA)</t>
  </si>
  <si>
    <t>State Unemployment Tax (SUTA)</t>
  </si>
  <si>
    <t>Employee Pension Programs</t>
  </si>
  <si>
    <t>Worker's Compensation</t>
  </si>
  <si>
    <t>Employee Health Insurance</t>
  </si>
  <si>
    <t>Other Employee Benefit Programs</t>
  </si>
  <si>
    <t>Total Expenses</t>
  </si>
  <si>
    <t>Land</t>
  </si>
  <si>
    <t>Depreciable Assets</t>
  </si>
  <si>
    <t>Asset</t>
  </si>
  <si>
    <t>Cost</t>
  </si>
  <si>
    <t>Depreciation (Years)</t>
  </si>
  <si>
    <t>PPE</t>
  </si>
  <si>
    <t>Additions</t>
  </si>
  <si>
    <t>Distributions</t>
  </si>
  <si>
    <t>Long term liabilities</t>
  </si>
  <si>
    <t>Total liabilities and shareholder's equity</t>
  </si>
  <si>
    <t>Total liabilities</t>
  </si>
  <si>
    <t>Valuation</t>
  </si>
  <si>
    <t>Net Cash Flow</t>
  </si>
  <si>
    <t>Discount Rate</t>
  </si>
  <si>
    <t>Investment</t>
  </si>
  <si>
    <t>Assets</t>
  </si>
  <si>
    <t>Liabilities</t>
  </si>
  <si>
    <t>Shareholder's Equity</t>
  </si>
  <si>
    <t>Cash Balance</t>
  </si>
  <si>
    <t>Return on Assets</t>
  </si>
  <si>
    <t>Return on Equity</t>
  </si>
  <si>
    <t>Best Case</t>
  </si>
  <si>
    <t>Status Quo</t>
  </si>
  <si>
    <t>Worst Case</t>
  </si>
  <si>
    <t>Parameters</t>
  </si>
  <si>
    <t>WACC</t>
  </si>
  <si>
    <t>Spread for discount rate</t>
  </si>
  <si>
    <t>Constant growth rate</t>
  </si>
  <si>
    <t>Spread for growth rate</t>
  </si>
  <si>
    <t>Cash Flows</t>
  </si>
  <si>
    <t>Period</t>
  </si>
  <si>
    <t>Cumulated discounted CF</t>
  </si>
  <si>
    <t>Terminal Value</t>
  </si>
  <si>
    <t>Last year EBITDA</t>
  </si>
  <si>
    <t>Terminal Value (VT)</t>
  </si>
  <si>
    <t>Discounted Terminal Value</t>
  </si>
  <si>
    <t>Last year CF</t>
  </si>
  <si>
    <t>Last year period</t>
  </si>
  <si>
    <t>Discount rate</t>
  </si>
  <si>
    <t>EBITDA multiple</t>
  </si>
  <si>
    <t>Calcul of the Enterprise Value</t>
  </si>
  <si>
    <t>Enterprise Value</t>
  </si>
  <si>
    <t>Attribution</t>
  </si>
  <si>
    <t>% of the value linked to projections</t>
  </si>
  <si>
    <t>% of the value linked to terminal value</t>
  </si>
  <si>
    <t>Valuation Multiples</t>
  </si>
  <si>
    <t>EBITDA multiple - last year</t>
  </si>
  <si>
    <t>Enterprise Value / Terminal Value</t>
  </si>
  <si>
    <t>Internal Rate of Return</t>
  </si>
  <si>
    <t>Cash Flow</t>
  </si>
  <si>
    <t>IRR</t>
  </si>
  <si>
    <t>Cumulative Cash Flows</t>
  </si>
  <si>
    <t>Owners</t>
  </si>
  <si>
    <t>Part Time Employees</t>
  </si>
  <si>
    <t>Full Time Employees</t>
  </si>
  <si>
    <t>Contractors</t>
  </si>
  <si>
    <t>Marketing and advertising</t>
  </si>
  <si>
    <t>1</t>
  </si>
  <si>
    <t>Employee 1</t>
  </si>
  <si>
    <t>Employee 2</t>
  </si>
  <si>
    <t>Employee 3</t>
  </si>
  <si>
    <t>Employee 4</t>
  </si>
  <si>
    <t>Headcount</t>
  </si>
  <si>
    <t>Benefits</t>
  </si>
  <si>
    <t>Salary</t>
  </si>
  <si>
    <t>Percentage Change</t>
  </si>
  <si>
    <t xml:space="preserve">Capital Structure </t>
  </si>
  <si>
    <t>Debt to Total Capitalization</t>
  </si>
  <si>
    <t>Equity to Total Capitalization</t>
  </si>
  <si>
    <t>Debt / Equity</t>
  </si>
  <si>
    <t>Cost of Equity</t>
  </si>
  <si>
    <t>Risk Free Rate</t>
  </si>
  <si>
    <t>Equity Risk Premium</t>
  </si>
  <si>
    <t>Company Specific Rsk</t>
  </si>
  <si>
    <t>Levered Beta</t>
  </si>
  <si>
    <t>Cost of Debt</t>
  </si>
  <si>
    <t>After Tax Cost of Debt</t>
  </si>
  <si>
    <t>Share Capital</t>
  </si>
  <si>
    <t>Other 1</t>
  </si>
  <si>
    <t>Other 2</t>
  </si>
  <si>
    <t>Distribution</t>
  </si>
  <si>
    <t>Total Investment</t>
  </si>
  <si>
    <t>Total Distribution</t>
  </si>
  <si>
    <t>Term (Years)</t>
  </si>
  <si>
    <t>Direct cost of revenue</t>
  </si>
  <si>
    <t>Starting</t>
  </si>
  <si>
    <t>Monthly</t>
  </si>
  <si>
    <t>Opening Balance Sheet</t>
  </si>
  <si>
    <t>Amount</t>
  </si>
  <si>
    <t>Payment (months)</t>
  </si>
  <si>
    <t>PPE, net</t>
  </si>
  <si>
    <t>Check</t>
  </si>
  <si>
    <t>Old Loans</t>
  </si>
  <si>
    <t>Depreciation (years)</t>
  </si>
  <si>
    <t>Total Debt</t>
  </si>
  <si>
    <t>Operating expenses</t>
  </si>
  <si>
    <t>Number of Units (adjust to center break even point)</t>
  </si>
  <si>
    <t>Total Fixed Expenses (first year expenses)</t>
  </si>
  <si>
    <t>Cash Flows % of Revenue</t>
  </si>
  <si>
    <t>EBITDA % of Revenue</t>
  </si>
  <si>
    <t>Discounted Cash Flows</t>
  </si>
  <si>
    <t>Cumulative</t>
  </si>
  <si>
    <t>Valuation (enterprise value)- Discounted Cash Flows + Terminal Value</t>
  </si>
  <si>
    <t>Percentage</t>
  </si>
  <si>
    <t>Dollar</t>
  </si>
  <si>
    <t>Operating Expenses</t>
  </si>
  <si>
    <t>Working Capital &amp; Contingency</t>
  </si>
  <si>
    <t>Non Depreciable Assets</t>
  </si>
  <si>
    <t>Vuco World</t>
  </si>
  <si>
    <t>Euro (€)</t>
  </si>
  <si>
    <t>Content Production Equipment</t>
  </si>
  <si>
    <t>10</t>
  </si>
  <si>
    <t>Software &amp; Technology</t>
  </si>
  <si>
    <t>5</t>
  </si>
  <si>
    <t>Content Production &amp; Streaming Revenue</t>
  </si>
  <si>
    <t>Viewers (Users)</t>
  </si>
  <si>
    <t>Cost of Services</t>
  </si>
  <si>
    <t>COS</t>
  </si>
  <si>
    <t>Direct Cost</t>
  </si>
  <si>
    <t>Viewer Revenue (ARPU)</t>
  </si>
  <si>
    <t>Average Sale Price</t>
  </si>
  <si>
    <t>Metaverse Item &amp; Land Sales Revenue</t>
  </si>
  <si>
    <t>Digital Sales (Units)</t>
  </si>
  <si>
    <t>Average Transaction Fee</t>
  </si>
  <si>
    <t>NFT &amp; VUCO Coin Transaction Revenue</t>
  </si>
  <si>
    <t>Digital Advertising &amp; Other Revenue</t>
  </si>
  <si>
    <t>Platform Users</t>
  </si>
  <si>
    <t>Digital Transactions</t>
  </si>
  <si>
    <t>Salaries &amp; Wages</t>
  </si>
  <si>
    <t>Purchases</t>
  </si>
  <si>
    <t>Sales &amp; Marketing</t>
  </si>
  <si>
    <t>Rent</t>
  </si>
  <si>
    <t>Other SG&amp;A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</si>
</sst>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.0_);_(&quot;$&quot;* \(#,##0.0\);_(&quot;$&quot;* &quot;-&quot;??_);_(@_)"/>
    <numFmt numFmtId="166" formatCode="&quot;$&quot;#,##0.0_);\(&quot;$&quot;#,##0.0\)"/>
    <numFmt numFmtId="167" formatCode="&quot;$&quot;#,##0.00"/>
    <numFmt numFmtId="168" formatCode="[$-1009]yyyy;@"/>
    <numFmt numFmtId="169" formatCode="[$-1009]\ yyyy;@"/>
    <numFmt numFmtId="170" formatCode="_(* #,##0_);_(* \(#,##0\);_(* &quot;-&quot;??_);_(@_)"/>
    <numFmt numFmtId="171" formatCode="_-&quot;$&quot;* #,##0_-;\-&quot;$&quot;* #,##0_-;_-&quot;$&quot;* &quot;-&quot;??_-;_-@_-"/>
    <numFmt numFmtId="172" formatCode="&quot;$&quot;#,##0"/>
    <numFmt numFmtId="173" formatCode="mmmm/yyyy"/>
    <numFmt numFmtId="174" formatCode="yyyy"/>
    <numFmt numFmtId="175" formatCode="mmm"/>
    <numFmt numFmtId="176" formatCode="_(&quot;$&quot;* #,##0_);_(&quot;$&quot;* \(#,##0\);_(&quot;$&quot;* &quot;-&quot;??_);_(@_)"/>
    <numFmt numFmtId="177" formatCode="0.0%_);\(0.0%\)"/>
    <numFmt numFmtId="178" formatCode="#,##0.0_);\(#,##0.0\)"/>
    <numFmt numFmtId="179" formatCode="#,##0.0"/>
    <numFmt numFmtId="180" formatCode="0.0\x_);\(0.0\x\)"/>
    <numFmt numFmtId="181" formatCode="0.000%"/>
    <numFmt numFmtId="182" formatCode="0.0%"/>
  </numFmts>
  <fonts count="57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i/>
      <sz val="10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sz val="10"/>
      <color theme="3"/>
      <name val="Calibri"/>
      <family val="2"/>
      <scheme val="minor"/>
    </font>
    <font>
      <sz val="10"/>
      <color theme="3"/>
      <name val="Arial"/>
      <family val="2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</font>
    <font>
      <sz val="10"/>
      <name val="Calibri (body)"/>
    </font>
    <font>
      <sz val="9"/>
      <name val="Calibri"/>
      <family val="2"/>
    </font>
    <font>
      <b/>
      <sz val="9"/>
      <name val="Calibri"/>
      <family val="2"/>
    </font>
    <font>
      <b/>
      <sz val="10"/>
      <color theme="0"/>
      <name val="Calibri"/>
      <family val="2"/>
    </font>
    <font>
      <b/>
      <sz val="10"/>
      <name val="Calibri (body)"/>
    </font>
    <font>
      <b/>
      <sz val="15"/>
      <color theme="0"/>
      <name val="Calibri"/>
      <family val="2"/>
    </font>
    <font>
      <sz val="15"/>
      <color theme="0"/>
      <name val="Calibri"/>
      <family val="2"/>
    </font>
    <font>
      <sz val="15"/>
      <name val="Calibri"/>
      <family val="2"/>
    </font>
    <font>
      <b/>
      <sz val="20"/>
      <color theme="0"/>
      <name val="Calibri"/>
      <family val="2"/>
    </font>
    <font>
      <sz val="20"/>
      <color theme="0"/>
      <name val="Calibri"/>
      <family val="2"/>
    </font>
    <font>
      <sz val="20"/>
      <name val="Arial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2"/>
      <name val="Calibri"/>
      <family val="2"/>
    </font>
    <font>
      <b/>
      <sz val="11"/>
      <color theme="0"/>
      <name val="Calibri"/>
      <family val="2"/>
    </font>
    <font>
      <sz val="10"/>
      <name val="Cal;i"/>
    </font>
    <font>
      <b/>
      <sz val="10"/>
      <color rgb="FF000000"/>
      <name val="Calibri"/>
      <family val="2"/>
    </font>
    <font>
      <sz val="10"/>
      <color rgb="FF008000"/>
      <name val="Calibri"/>
      <family val="2"/>
    </font>
    <font>
      <i/>
      <sz val="10"/>
      <color rgb="FF00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/>
      <name val="Calibri"/>
      <family val="2"/>
    </font>
    <font>
      <b/>
      <i/>
      <sz val="10"/>
      <name val="Calibri"/>
      <family val="2"/>
    </font>
    <font>
      <sz val="1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7" tint="0.79998168889431442"/>
        <bgColor rgb="FFFFF2CC"/>
      </patternFill>
    </fill>
    <fill>
      <patternFill patternType="solid">
        <fgColor rgb="FF002060"/>
        <bgColor rgb="FFF3F3F3"/>
      </patternFill>
    </fill>
    <fill>
      <patternFill patternType="solid">
        <fgColor rgb="FF002060"/>
        <bgColor rgb="FFF5F5F5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9" fillId="0" borderId="5" applyNumberFormat="0" applyFill="0" applyAlignment="0" applyProtection="0"/>
    <xf numFmtId="0" fontId="9" fillId="0" borderId="6" applyNumberFormat="0" applyProtection="0"/>
    <xf numFmtId="49" fontId="13" fillId="0" borderId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9" fillId="0" borderId="4" applyFill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570">
    <xf numFmtId="0" fontId="0" fillId="0" borderId="0" xfId="0"/>
    <xf numFmtId="0" fontId="4" fillId="0" borderId="0" xfId="0" applyFont="1"/>
    <xf numFmtId="0" fontId="15" fillId="0" borderId="0" xfId="0" applyFont="1"/>
    <xf numFmtId="0" fontId="16" fillId="0" borderId="0" xfId="0" applyFont="1"/>
    <xf numFmtId="0" fontId="4" fillId="0" borderId="0" xfId="3" applyFont="1"/>
    <xf numFmtId="3" fontId="4" fillId="0" borderId="0" xfId="1" applyNumberFormat="1" applyFont="1" applyAlignment="1"/>
    <xf numFmtId="0" fontId="17" fillId="0" borderId="0" xfId="0" applyFont="1"/>
    <xf numFmtId="0" fontId="18" fillId="0" borderId="0" xfId="0" applyFont="1"/>
    <xf numFmtId="0" fontId="17" fillId="0" borderId="0" xfId="0" applyFont="1" applyFill="1"/>
    <xf numFmtId="0" fontId="19" fillId="0" borderId="0" xfId="0" applyFont="1"/>
    <xf numFmtId="0" fontId="17" fillId="0" borderId="0" xfId="0" applyFont="1" applyBorder="1"/>
    <xf numFmtId="0" fontId="4" fillId="0" borderId="3" xfId="0" applyFont="1" applyBorder="1"/>
    <xf numFmtId="0" fontId="17" fillId="0" borderId="3" xfId="0" applyFont="1" applyBorder="1"/>
    <xf numFmtId="176" fontId="17" fillId="0" borderId="0" xfId="2" applyNumberFormat="1" applyFont="1" applyBorder="1"/>
    <xf numFmtId="10" fontId="17" fillId="0" borderId="0" xfId="0" applyNumberFormat="1" applyFont="1" applyBorder="1"/>
    <xf numFmtId="43" fontId="17" fillId="0" borderId="0" xfId="0" applyNumberFormat="1" applyFont="1" applyBorder="1"/>
    <xf numFmtId="49" fontId="14" fillId="0" borderId="0" xfId="7" applyFont="1" applyBorder="1"/>
    <xf numFmtId="0" fontId="20" fillId="0" borderId="0" xfId="6" applyFont="1" applyBorder="1"/>
    <xf numFmtId="0" fontId="17" fillId="0" borderId="0" xfId="0" applyFont="1" applyBorder="1" applyAlignment="1">
      <alignment horizontal="center"/>
    </xf>
    <xf numFmtId="170" fontId="14" fillId="4" borderId="0" xfId="1" applyNumberFormat="1" applyFont="1" applyFill="1" applyBorder="1" applyAlignment="1">
      <alignment horizontal="center"/>
    </xf>
    <xf numFmtId="170" fontId="14" fillId="0" borderId="0" xfId="1" applyNumberFormat="1" applyFont="1" applyBorder="1" applyAlignment="1">
      <alignment horizontal="center"/>
    </xf>
    <xf numFmtId="0" fontId="17" fillId="4" borderId="0" xfId="0" applyFont="1" applyFill="1"/>
    <xf numFmtId="170" fontId="14" fillId="0" borderId="0" xfId="1" applyNumberFormat="1" applyFont="1" applyFill="1" applyBorder="1" applyAlignment="1">
      <alignment horizontal="center"/>
    </xf>
    <xf numFmtId="43" fontId="17" fillId="0" borderId="0" xfId="2" applyNumberFormat="1" applyFont="1" applyBorder="1"/>
    <xf numFmtId="1" fontId="14" fillId="0" borderId="0" xfId="68" applyNumberFormat="1" applyFont="1" applyBorder="1" applyAlignment="1">
      <alignment horizontal="center"/>
    </xf>
    <xf numFmtId="0" fontId="19" fillId="0" borderId="0" xfId="0" applyFont="1" applyBorder="1"/>
    <xf numFmtId="3" fontId="19" fillId="0" borderId="0" xfId="1" applyNumberFormat="1" applyFont="1" applyBorder="1" applyAlignment="1"/>
    <xf numFmtId="0" fontId="17" fillId="0" borderId="0" xfId="0" applyFont="1" applyFill="1" applyBorder="1"/>
    <xf numFmtId="165" fontId="17" fillId="0" borderId="0" xfId="2" applyNumberFormat="1" applyFont="1" applyBorder="1"/>
    <xf numFmtId="0" fontId="17" fillId="4" borderId="0" xfId="0" applyFont="1" applyFill="1" applyBorder="1" applyAlignment="1">
      <alignment horizontal="center"/>
    </xf>
    <xf numFmtId="0" fontId="17" fillId="0" borderId="3" xfId="0" applyFont="1" applyFill="1" applyBorder="1"/>
    <xf numFmtId="10" fontId="17" fillId="4" borderId="0" xfId="4" applyNumberFormat="1" applyFont="1" applyFill="1" applyBorder="1" applyAlignment="1">
      <alignment horizontal="center"/>
    </xf>
    <xf numFmtId="0" fontId="17" fillId="0" borderId="2" xfId="0" applyFont="1" applyBorder="1"/>
    <xf numFmtId="176" fontId="17" fillId="0" borderId="3" xfId="0" applyNumberFormat="1" applyFont="1" applyBorder="1"/>
    <xf numFmtId="0" fontId="21" fillId="0" borderId="0" xfId="0" applyFont="1"/>
    <xf numFmtId="43" fontId="17" fillId="4" borderId="8" xfId="1" applyFont="1" applyFill="1" applyBorder="1"/>
    <xf numFmtId="43" fontId="17" fillId="0" borderId="0" xfId="1" applyFont="1" applyFill="1" applyBorder="1"/>
    <xf numFmtId="0" fontId="6" fillId="4" borderId="9" xfId="0" applyFont="1" applyFill="1" applyBorder="1" applyProtection="1">
      <protection locked="0"/>
    </xf>
    <xf numFmtId="0" fontId="4" fillId="4" borderId="10" xfId="0" applyFont="1" applyFill="1" applyBorder="1"/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25" fillId="0" borderId="0" xfId="70" applyFont="1"/>
    <xf numFmtId="10" fontId="20" fillId="0" borderId="0" xfId="6" applyNumberFormat="1" applyFont="1" applyBorder="1"/>
    <xf numFmtId="10" fontId="14" fillId="4" borderId="1" xfId="68" applyNumberFormat="1" applyFont="1" applyFill="1" applyBorder="1" applyAlignment="1">
      <alignment horizontal="center"/>
    </xf>
    <xf numFmtId="1" fontId="14" fillId="4" borderId="0" xfId="68" applyNumberFormat="1" applyFont="1" applyFill="1" applyBorder="1" applyAlignment="1">
      <alignment horizontal="center"/>
    </xf>
    <xf numFmtId="10" fontId="14" fillId="0" borderId="1" xfId="4" applyNumberFormat="1" applyFont="1" applyBorder="1" applyAlignment="1">
      <alignment horizontal="center"/>
    </xf>
    <xf numFmtId="9" fontId="14" fillId="4" borderId="0" xfId="68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170" fontId="14" fillId="0" borderId="3" xfId="1" applyNumberFormat="1" applyFont="1" applyBorder="1" applyAlignment="1">
      <alignment horizontal="center"/>
    </xf>
    <xf numFmtId="167" fontId="20" fillId="0" borderId="2" xfId="66" applyNumberFormat="1" applyFont="1" applyBorder="1" applyAlignment="1">
      <alignment horizontal="center"/>
    </xf>
    <xf numFmtId="170" fontId="20" fillId="0" borderId="2" xfId="1" applyNumberFormat="1" applyFont="1" applyBorder="1" applyAlignment="1">
      <alignment horizontal="center"/>
    </xf>
    <xf numFmtId="170" fontId="17" fillId="0" borderId="2" xfId="0" applyNumberFormat="1" applyFont="1" applyBorder="1"/>
    <xf numFmtId="172" fontId="14" fillId="4" borderId="0" xfId="68" applyNumberFormat="1" applyFont="1" applyFill="1" applyBorder="1" applyAlignment="1">
      <alignment horizontal="center"/>
    </xf>
    <xf numFmtId="166" fontId="17" fillId="0" borderId="0" xfId="1" applyNumberFormat="1" applyFont="1" applyBorder="1" applyAlignment="1">
      <alignment horizontal="right"/>
    </xf>
    <xf numFmtId="167" fontId="20" fillId="0" borderId="2" xfId="66" applyNumberFormat="1" applyFont="1" applyBorder="1" applyAlignment="1">
      <alignment horizontal="left"/>
    </xf>
    <xf numFmtId="3" fontId="17" fillId="0" borderId="0" xfId="0" applyNumberFormat="1" applyFont="1"/>
    <xf numFmtId="3" fontId="17" fillId="0" borderId="0" xfId="0" applyNumberFormat="1" applyFont="1" applyBorder="1"/>
    <xf numFmtId="9" fontId="17" fillId="4" borderId="0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4" fillId="0" borderId="0" xfId="0" applyFont="1" applyFill="1" applyBorder="1"/>
    <xf numFmtId="0" fontId="17" fillId="3" borderId="0" xfId="0" applyFont="1" applyFill="1"/>
    <xf numFmtId="49" fontId="20" fillId="3" borderId="0" xfId="7" applyFont="1" applyFill="1" applyBorder="1"/>
    <xf numFmtId="49" fontId="14" fillId="3" borderId="0" xfId="7" applyFont="1" applyFill="1"/>
    <xf numFmtId="0" fontId="26" fillId="2" borderId="0" xfId="0" applyFont="1" applyFill="1"/>
    <xf numFmtId="0" fontId="4" fillId="0" borderId="0" xfId="0" applyFont="1" applyAlignment="1">
      <alignment horizontal="center"/>
    </xf>
    <xf numFmtId="0" fontId="0" fillId="0" borderId="0" xfId="0" applyBorder="1"/>
    <xf numFmtId="49" fontId="3" fillId="0" borderId="0" xfId="7" applyFont="1" applyBorder="1"/>
    <xf numFmtId="49" fontId="14" fillId="3" borderId="0" xfId="7" applyFont="1" applyFill="1" applyAlignment="1">
      <alignment vertical="center"/>
    </xf>
    <xf numFmtId="49" fontId="14" fillId="3" borderId="0" xfId="7" applyFont="1" applyFill="1" applyAlignment="1">
      <alignment horizontal="left" vertical="center"/>
    </xf>
    <xf numFmtId="49" fontId="31" fillId="3" borderId="2" xfId="69" applyNumberFormat="1" applyFont="1" applyFill="1" applyBorder="1"/>
    <xf numFmtId="49" fontId="31" fillId="3" borderId="0" xfId="7" applyFont="1" applyFill="1"/>
    <xf numFmtId="0" fontId="18" fillId="3" borderId="0" xfId="0" applyFont="1" applyFill="1" applyBorder="1" applyAlignment="1">
      <alignment horizontal="center" wrapText="1"/>
    </xf>
    <xf numFmtId="0" fontId="27" fillId="2" borderId="0" xfId="0" applyFont="1" applyFill="1" applyAlignment="1">
      <alignment vertical="center"/>
    </xf>
    <xf numFmtId="0" fontId="26" fillId="2" borderId="0" xfId="5" quotePrefix="1" applyFont="1" applyFill="1" applyBorder="1" applyAlignment="1">
      <alignment vertical="center"/>
    </xf>
    <xf numFmtId="0" fontId="26" fillId="2" borderId="0" xfId="5" applyFont="1" applyFill="1" applyBorder="1" applyAlignment="1">
      <alignment vertical="center"/>
    </xf>
    <xf numFmtId="0" fontId="20" fillId="3" borderId="0" xfId="5" applyFont="1" applyFill="1" applyBorder="1" applyAlignment="1">
      <alignment vertical="center"/>
    </xf>
    <xf numFmtId="169" fontId="20" fillId="3" borderId="0" xfId="5" quotePrefix="1" applyNumberFormat="1" applyFont="1" applyFill="1" applyBorder="1" applyAlignment="1">
      <alignment horizontal="right" vertical="center" wrapText="1"/>
    </xf>
    <xf numFmtId="49" fontId="20" fillId="3" borderId="0" xfId="7" applyFont="1" applyFill="1" applyBorder="1" applyAlignment="1">
      <alignment vertical="center"/>
    </xf>
    <xf numFmtId="170" fontId="14" fillId="0" borderId="0" xfId="68" applyNumberFormat="1" applyFont="1" applyBorder="1" applyAlignment="1">
      <alignment horizontal="right" vertical="center"/>
    </xf>
    <xf numFmtId="49" fontId="14" fillId="3" borderId="1" xfId="7" applyFont="1" applyFill="1" applyBorder="1" applyAlignment="1">
      <alignment vertical="center"/>
    </xf>
    <xf numFmtId="170" fontId="14" fillId="0" borderId="1" xfId="68" applyNumberFormat="1" applyFont="1" applyBorder="1" applyAlignment="1">
      <alignment horizontal="right" vertical="center"/>
    </xf>
    <xf numFmtId="49" fontId="20" fillId="3" borderId="0" xfId="7" applyFont="1" applyFill="1" applyAlignment="1">
      <alignment vertical="center"/>
    </xf>
    <xf numFmtId="170" fontId="14" fillId="0" borderId="0" xfId="68" applyNumberFormat="1" applyFont="1" applyBorder="1" applyAlignment="1">
      <alignment horizontal="center" vertical="center"/>
    </xf>
    <xf numFmtId="49" fontId="20" fillId="3" borderId="3" xfId="7" applyFont="1" applyFill="1" applyBorder="1" applyAlignment="1">
      <alignment horizontal="left" vertical="center"/>
    </xf>
    <xf numFmtId="49" fontId="14" fillId="3" borderId="3" xfId="7" applyFont="1" applyFill="1" applyBorder="1" applyAlignment="1">
      <alignment horizontal="left" vertical="center"/>
    </xf>
    <xf numFmtId="170" fontId="14" fillId="0" borderId="3" xfId="68" applyNumberFormat="1" applyFont="1" applyBorder="1" applyAlignment="1">
      <alignment horizontal="right" vertical="center"/>
    </xf>
    <xf numFmtId="49" fontId="20" fillId="3" borderId="7" xfId="66" applyNumberFormat="1" applyFont="1" applyFill="1" applyAlignment="1">
      <alignment vertical="center"/>
    </xf>
    <xf numFmtId="170" fontId="14" fillId="0" borderId="7" xfId="66" applyNumberFormat="1" applyFont="1" applyAlignment="1">
      <alignment vertical="center"/>
    </xf>
    <xf numFmtId="4" fontId="17" fillId="0" borderId="0" xfId="0" applyNumberFormat="1" applyFont="1"/>
    <xf numFmtId="0" fontId="33" fillId="3" borderId="0" xfId="0" applyFont="1" applyFill="1" applyBorder="1"/>
    <xf numFmtId="0" fontId="34" fillId="3" borderId="0" xfId="0" applyFont="1" applyFill="1" applyBorder="1"/>
    <xf numFmtId="0" fontId="26" fillId="2" borderId="0" xfId="0" applyFont="1" applyFill="1" applyAlignment="1">
      <alignment vertical="center"/>
    </xf>
    <xf numFmtId="0" fontId="17" fillId="3" borderId="15" xfId="0" applyFont="1" applyFill="1" applyBorder="1"/>
    <xf numFmtId="0" fontId="17" fillId="3" borderId="13" xfId="0" applyFont="1" applyFill="1" applyBorder="1"/>
    <xf numFmtId="0" fontId="17" fillId="3" borderId="0" xfId="0" applyFont="1" applyFill="1" applyBorder="1" applyAlignment="1">
      <alignment horizontal="left"/>
    </xf>
    <xf numFmtId="3" fontId="32" fillId="0" borderId="0" xfId="4" applyNumberFormat="1" applyFont="1" applyAlignment="1">
      <alignment horizontal="center" vertical="center"/>
    </xf>
    <xf numFmtId="38" fontId="32" fillId="3" borderId="0" xfId="4" applyNumberFormat="1" applyFont="1" applyFill="1" applyAlignment="1">
      <alignment horizontal="center" vertical="center"/>
    </xf>
    <xf numFmtId="49" fontId="20" fillId="3" borderId="0" xfId="66" applyNumberFormat="1" applyFont="1" applyFill="1" applyBorder="1" applyAlignment="1">
      <alignment horizontal="left" vertical="center"/>
    </xf>
    <xf numFmtId="3" fontId="36" fillId="0" borderId="0" xfId="4" applyNumberFormat="1" applyFont="1" applyAlignment="1">
      <alignment horizontal="center" vertical="center"/>
    </xf>
    <xf numFmtId="49" fontId="20" fillId="3" borderId="16" xfId="66" applyNumberFormat="1" applyFont="1" applyFill="1" applyBorder="1" applyAlignment="1">
      <alignment horizontal="left" vertical="center"/>
    </xf>
    <xf numFmtId="3" fontId="36" fillId="0" borderId="16" xfId="4" applyNumberFormat="1" applyFont="1" applyBorder="1" applyAlignment="1">
      <alignment horizontal="center" vertical="center"/>
    </xf>
    <xf numFmtId="0" fontId="4" fillId="3" borderId="0" xfId="0" applyFont="1" applyFill="1" applyBorder="1"/>
    <xf numFmtId="168" fontId="35" fillId="2" borderId="0" xfId="5" applyNumberFormat="1" applyFont="1" applyFill="1" applyBorder="1" applyAlignment="1">
      <alignment horizontal="left"/>
    </xf>
    <xf numFmtId="0" fontId="17" fillId="3" borderId="0" xfId="0" applyFont="1" applyFill="1" applyBorder="1"/>
    <xf numFmtId="175" fontId="20" fillId="3" borderId="0" xfId="6" applyNumberFormat="1" applyFont="1" applyFill="1" applyBorder="1" applyAlignment="1">
      <alignment horizontal="center"/>
    </xf>
    <xf numFmtId="0" fontId="20" fillId="3" borderId="0" xfId="6" applyFont="1" applyFill="1" applyBorder="1"/>
    <xf numFmtId="49" fontId="14" fillId="3" borderId="0" xfId="7" applyFont="1" applyFill="1" applyBorder="1"/>
    <xf numFmtId="0" fontId="26" fillId="2" borderId="0" xfId="0" applyFont="1" applyFill="1" applyBorder="1"/>
    <xf numFmtId="0" fontId="18" fillId="3" borderId="15" xfId="0" applyFont="1" applyFill="1" applyBorder="1"/>
    <xf numFmtId="0" fontId="18" fillId="3" borderId="0" xfId="0" applyFont="1" applyFill="1" applyBorder="1"/>
    <xf numFmtId="10" fontId="14" fillId="3" borderId="0" xfId="68" applyNumberFormat="1" applyFont="1" applyFill="1" applyBorder="1" applyAlignment="1">
      <alignment horizontal="center"/>
    </xf>
    <xf numFmtId="1" fontId="14" fillId="3" borderId="0" xfId="68" applyNumberFormat="1" applyFont="1" applyFill="1" applyBorder="1" applyAlignment="1">
      <alignment horizontal="center"/>
    </xf>
    <xf numFmtId="2" fontId="14" fillId="3" borderId="0" xfId="68" applyNumberFormat="1" applyFont="1" applyFill="1" applyBorder="1" applyAlignment="1">
      <alignment horizontal="center"/>
    </xf>
    <xf numFmtId="0" fontId="17" fillId="3" borderId="1" xfId="0" applyFont="1" applyFill="1" applyBorder="1"/>
    <xf numFmtId="0" fontId="27" fillId="0" borderId="0" xfId="0" applyFont="1"/>
    <xf numFmtId="170" fontId="4" fillId="0" borderId="0" xfId="0" applyNumberFormat="1" applyFont="1"/>
    <xf numFmtId="0" fontId="20" fillId="3" borderId="1" xfId="5" applyFont="1" applyFill="1" applyBorder="1"/>
    <xf numFmtId="168" fontId="20" fillId="3" borderId="1" xfId="5" applyNumberFormat="1" applyFont="1" applyFill="1" applyBorder="1" applyAlignment="1">
      <alignment horizontal="center"/>
    </xf>
    <xf numFmtId="49" fontId="14" fillId="3" borderId="1" xfId="7" applyFont="1" applyFill="1" applyBorder="1"/>
    <xf numFmtId="0" fontId="18" fillId="3" borderId="3" xfId="0" applyFont="1" applyFill="1" applyBorder="1"/>
    <xf numFmtId="0" fontId="17" fillId="3" borderId="3" xfId="0" applyFont="1" applyFill="1" applyBorder="1"/>
    <xf numFmtId="0" fontId="4" fillId="3" borderId="3" xfId="0" applyFont="1" applyFill="1" applyBorder="1"/>
    <xf numFmtId="168" fontId="37" fillId="2" borderId="0" xfId="5" applyNumberFormat="1" applyFont="1" applyFill="1" applyBorder="1" applyAlignment="1">
      <alignment horizontal="left"/>
    </xf>
    <xf numFmtId="0" fontId="37" fillId="2" borderId="0" xfId="0" applyFont="1" applyFill="1"/>
    <xf numFmtId="0" fontId="38" fillId="2" borderId="0" xfId="0" applyFont="1" applyFill="1"/>
    <xf numFmtId="0" fontId="18" fillId="4" borderId="0" xfId="0" applyFont="1" applyFill="1"/>
    <xf numFmtId="168" fontId="35" fillId="2" borderId="12" xfId="5" applyNumberFormat="1" applyFont="1" applyFill="1" applyBorder="1" applyAlignment="1"/>
    <xf numFmtId="174" fontId="35" fillId="2" borderId="14" xfId="6" applyNumberFormat="1" applyFont="1" applyFill="1" applyBorder="1" applyAlignment="1">
      <alignment horizontal="center"/>
    </xf>
    <xf numFmtId="175" fontId="35" fillId="2" borderId="1" xfId="6" applyNumberFormat="1" applyFont="1" applyFill="1" applyBorder="1" applyAlignment="1">
      <alignment horizontal="center"/>
    </xf>
    <xf numFmtId="175" fontId="35" fillId="2" borderId="14" xfId="6" applyNumberFormat="1" applyFont="1" applyFill="1" applyBorder="1" applyAlignment="1">
      <alignment horizontal="center"/>
    </xf>
    <xf numFmtId="168" fontId="35" fillId="2" borderId="0" xfId="5" applyNumberFormat="1" applyFont="1" applyFill="1" applyBorder="1" applyAlignment="1"/>
    <xf numFmtId="174" fontId="35" fillId="2" borderId="0" xfId="6" applyNumberFormat="1" applyFont="1" applyFill="1" applyBorder="1" applyAlignment="1">
      <alignment horizontal="center"/>
    </xf>
    <xf numFmtId="175" fontId="35" fillId="2" borderId="0" xfId="6" applyNumberFormat="1" applyFont="1" applyFill="1" applyBorder="1" applyAlignment="1">
      <alignment horizontal="center"/>
    </xf>
    <xf numFmtId="0" fontId="17" fillId="2" borderId="0" xfId="0" applyFont="1" applyFill="1" applyBorder="1"/>
    <xf numFmtId="0" fontId="38" fillId="2" borderId="0" xfId="0" applyFont="1" applyFill="1" applyBorder="1"/>
    <xf numFmtId="175" fontId="35" fillId="2" borderId="13" xfId="6" applyNumberFormat="1" applyFont="1" applyFill="1" applyBorder="1" applyAlignment="1">
      <alignment horizontal="center"/>
    </xf>
    <xf numFmtId="165" fontId="17" fillId="3" borderId="0" xfId="2" applyNumberFormat="1" applyFont="1" applyFill="1" applyBorder="1"/>
    <xf numFmtId="0" fontId="18" fillId="0" borderId="2" xfId="0" applyFont="1" applyBorder="1"/>
    <xf numFmtId="170" fontId="18" fillId="0" borderId="2" xfId="0" applyNumberFormat="1" applyFont="1" applyBorder="1"/>
    <xf numFmtId="168" fontId="35" fillId="0" borderId="0" xfId="5" applyNumberFormat="1" applyFont="1" applyFill="1" applyBorder="1" applyAlignment="1">
      <alignment horizontal="left"/>
    </xf>
    <xf numFmtId="0" fontId="26" fillId="0" borderId="0" xfId="0" applyFont="1" applyFill="1" applyBorder="1"/>
    <xf numFmtId="0" fontId="39" fillId="0" borderId="0" xfId="0" applyFont="1" applyBorder="1"/>
    <xf numFmtId="4" fontId="4" fillId="0" borderId="0" xfId="0" applyNumberFormat="1" applyFont="1"/>
    <xf numFmtId="170" fontId="4" fillId="0" borderId="0" xfId="1" applyNumberFormat="1" applyFont="1" applyFill="1" applyBorder="1"/>
    <xf numFmtId="49" fontId="3" fillId="0" borderId="0" xfId="7" applyFont="1" applyFill="1"/>
    <xf numFmtId="0" fontId="41" fillId="2" borderId="0" xfId="0" applyFont="1" applyFill="1"/>
    <xf numFmtId="0" fontId="40" fillId="2" borderId="0" xfId="5" applyFont="1" applyFill="1" applyBorder="1"/>
    <xf numFmtId="0" fontId="42" fillId="0" borderId="0" xfId="0" applyFont="1"/>
    <xf numFmtId="0" fontId="41" fillId="2" borderId="0" xfId="0" applyFont="1" applyFill="1" applyAlignment="1">
      <alignment vertical="center"/>
    </xf>
    <xf numFmtId="0" fontId="43" fillId="0" borderId="0" xfId="0" applyFont="1"/>
    <xf numFmtId="170" fontId="17" fillId="4" borderId="0" xfId="1" applyNumberFormat="1" applyFont="1" applyFill="1" applyBorder="1" applyProtection="1">
      <protection locked="0"/>
    </xf>
    <xf numFmtId="10" fontId="14" fillId="4" borderId="0" xfId="4" applyNumberFormat="1" applyFont="1" applyFill="1" applyBorder="1" applyAlignment="1">
      <alignment horizontal="center"/>
    </xf>
    <xf numFmtId="49" fontId="14" fillId="3" borderId="0" xfId="7" quotePrefix="1" applyNumberFormat="1" applyFont="1" applyFill="1" applyAlignment="1">
      <alignment vertical="center"/>
    </xf>
    <xf numFmtId="49" fontId="20" fillId="3" borderId="2" xfId="7" applyFont="1" applyFill="1" applyBorder="1" applyAlignment="1">
      <alignment vertical="center"/>
    </xf>
    <xf numFmtId="49" fontId="14" fillId="3" borderId="2" xfId="7" applyFont="1" applyFill="1" applyBorder="1" applyAlignment="1">
      <alignment vertical="center"/>
    </xf>
    <xf numFmtId="170" fontId="14" fillId="0" borderId="2" xfId="68" applyNumberFormat="1" applyFont="1" applyBorder="1" applyAlignment="1">
      <alignment horizontal="right" vertical="center"/>
    </xf>
    <xf numFmtId="175" fontId="44" fillId="0" borderId="0" xfId="0" applyNumberFormat="1" applyFont="1"/>
    <xf numFmtId="0" fontId="44" fillId="0" borderId="0" xfId="0" applyFont="1"/>
    <xf numFmtId="0" fontId="12" fillId="0" borderId="0" xfId="0" applyFont="1"/>
    <xf numFmtId="169" fontId="12" fillId="0" borderId="0" xfId="0" applyNumberFormat="1" applyFont="1"/>
    <xf numFmtId="170" fontId="12" fillId="0" borderId="0" xfId="0" applyNumberFormat="1" applyFont="1"/>
    <xf numFmtId="43" fontId="4" fillId="0" borderId="0" xfId="0" applyNumberFormat="1" applyFont="1" applyBorder="1"/>
    <xf numFmtId="43" fontId="17" fillId="0" borderId="1" xfId="0" applyNumberFormat="1" applyFont="1" applyBorder="1"/>
    <xf numFmtId="3" fontId="17" fillId="0" borderId="0" xfId="1" applyNumberFormat="1" applyFont="1" applyFill="1" applyAlignment="1">
      <alignment horizontal="center"/>
    </xf>
    <xf numFmtId="3" fontId="17" fillId="0" borderId="2" xfId="1" applyNumberFormat="1" applyFont="1" applyFill="1" applyBorder="1" applyAlignment="1">
      <alignment horizontal="center"/>
    </xf>
    <xf numFmtId="168" fontId="35" fillId="0" borderId="0" xfId="5" applyNumberFormat="1" applyFont="1" applyFill="1" applyBorder="1" applyAlignment="1"/>
    <xf numFmtId="168" fontId="20" fillId="0" borderId="0" xfId="5" applyNumberFormat="1" applyFont="1" applyFill="1" applyBorder="1" applyAlignment="1"/>
    <xf numFmtId="43" fontId="14" fillId="0" borderId="0" xfId="1" applyNumberFormat="1" applyFont="1" applyBorder="1" applyAlignment="1">
      <alignment horizontal="center"/>
    </xf>
    <xf numFmtId="49" fontId="14" fillId="0" borderId="0" xfId="7" applyFont="1" applyFill="1" applyBorder="1"/>
    <xf numFmtId="49" fontId="14" fillId="3" borderId="1" xfId="7" applyFont="1" applyFill="1" applyBorder="1" applyAlignment="1">
      <alignment horizontal="center"/>
    </xf>
    <xf numFmtId="174" fontId="14" fillId="3" borderId="0" xfId="6" applyNumberFormat="1" applyFont="1" applyFill="1" applyBorder="1" applyAlignment="1">
      <alignment horizontal="left"/>
    </xf>
    <xf numFmtId="37" fontId="17" fillId="4" borderId="0" xfId="2" applyNumberFormat="1" applyFont="1" applyFill="1" applyBorder="1" applyProtection="1">
      <protection locked="0"/>
    </xf>
    <xf numFmtId="37" fontId="17" fillId="0" borderId="1" xfId="0" applyNumberFormat="1" applyFont="1" applyBorder="1"/>
    <xf numFmtId="37" fontId="17" fillId="0" borderId="0" xfId="2" applyNumberFormat="1" applyFont="1" applyFill="1" applyBorder="1" applyProtection="1">
      <protection locked="0"/>
    </xf>
    <xf numFmtId="37" fontId="18" fillId="0" borderId="0" xfId="0" applyNumberFormat="1" applyFont="1" applyBorder="1"/>
    <xf numFmtId="170" fontId="14" fillId="3" borderId="0" xfId="1" applyNumberFormat="1" applyFont="1" applyFill="1" applyBorder="1" applyAlignment="1">
      <alignment horizontal="center"/>
    </xf>
    <xf numFmtId="170" fontId="14" fillId="3" borderId="0" xfId="1" applyNumberFormat="1" applyFont="1" applyFill="1" applyBorder="1" applyAlignment="1">
      <alignment horizontal="right"/>
    </xf>
    <xf numFmtId="169" fontId="4" fillId="0" borderId="0" xfId="0" applyNumberFormat="1" applyFont="1"/>
    <xf numFmtId="1" fontId="4" fillId="0" borderId="0" xfId="0" applyNumberFormat="1" applyFont="1"/>
    <xf numFmtId="37" fontId="4" fillId="0" borderId="0" xfId="0" applyNumberFormat="1" applyFont="1"/>
    <xf numFmtId="10" fontId="17" fillId="4" borderId="0" xfId="4" applyNumberFormat="1" applyFont="1" applyFill="1" applyAlignment="1">
      <alignment horizontal="center"/>
    </xf>
    <xf numFmtId="3" fontId="32" fillId="3" borderId="0" xfId="4" applyNumberFormat="1" applyFont="1" applyFill="1" applyAlignment="1">
      <alignment horizontal="center" vertical="center"/>
    </xf>
    <xf numFmtId="0" fontId="45" fillId="2" borderId="0" xfId="0" applyFont="1" applyFill="1" applyAlignment="1">
      <alignment vertical="center"/>
    </xf>
    <xf numFmtId="168" fontId="37" fillId="2" borderId="0" xfId="5" applyNumberFormat="1" applyFont="1" applyFill="1" applyBorder="1" applyAlignment="1">
      <alignment horizontal="left" vertical="center"/>
    </xf>
    <xf numFmtId="49" fontId="11" fillId="3" borderId="0" xfId="7" applyFont="1" applyFill="1" applyAlignment="1">
      <alignment vertical="center"/>
    </xf>
    <xf numFmtId="49" fontId="10" fillId="3" borderId="0" xfId="7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70" fontId="4" fillId="0" borderId="0" xfId="1" applyNumberFormat="1" applyFont="1" applyBorder="1" applyAlignment="1">
      <alignment horizontal="center" vertical="center"/>
    </xf>
    <xf numFmtId="170" fontId="11" fillId="0" borderId="0" xfId="68" applyNumberFormat="1" applyFont="1" applyBorder="1" applyAlignment="1">
      <alignment horizontal="right" vertical="center"/>
    </xf>
    <xf numFmtId="0" fontId="11" fillId="3" borderId="0" xfId="7" applyNumberFormat="1" applyFont="1" applyFill="1" applyAlignment="1">
      <alignment vertical="center"/>
    </xf>
    <xf numFmtId="49" fontId="10" fillId="3" borderId="7" xfId="66" applyNumberFormat="1" applyFont="1" applyFill="1" applyAlignment="1">
      <alignment vertical="center"/>
    </xf>
    <xf numFmtId="49" fontId="11" fillId="3" borderId="7" xfId="66" applyNumberFormat="1" applyFont="1" applyFill="1" applyAlignment="1">
      <alignment vertical="center"/>
    </xf>
    <xf numFmtId="170" fontId="11" fillId="0" borderId="7" xfId="66" applyNumberFormat="1" applyFont="1" applyAlignment="1">
      <alignment vertical="center"/>
    </xf>
    <xf numFmtId="0" fontId="10" fillId="3" borderId="0" xfId="6" applyFont="1" applyFill="1" applyBorder="1" applyAlignment="1">
      <alignment vertical="center"/>
    </xf>
    <xf numFmtId="0" fontId="28" fillId="0" borderId="0" xfId="6" applyFont="1" applyBorder="1" applyAlignment="1">
      <alignment vertical="center"/>
    </xf>
    <xf numFmtId="49" fontId="10" fillId="3" borderId="0" xfId="7" applyFont="1" applyFill="1" applyBorder="1" applyAlignment="1">
      <alignment vertical="center"/>
    </xf>
    <xf numFmtId="49" fontId="11" fillId="3" borderId="0" xfId="7" applyFont="1" applyFill="1" applyBorder="1" applyAlignment="1">
      <alignment vertical="center"/>
    </xf>
    <xf numFmtId="170" fontId="29" fillId="0" borderId="0" xfId="1" applyNumberFormat="1" applyFont="1" applyBorder="1" applyAlignment="1">
      <alignment horizontal="center" vertical="center"/>
    </xf>
    <xf numFmtId="49" fontId="14" fillId="3" borderId="2" xfId="69" applyNumberFormat="1" applyFont="1" applyFill="1" applyAlignment="1">
      <alignment vertical="center"/>
    </xf>
    <xf numFmtId="170" fontId="14" fillId="0" borderId="2" xfId="69" applyNumberFormat="1" applyFont="1" applyAlignment="1">
      <alignment vertical="center"/>
    </xf>
    <xf numFmtId="169" fontId="4" fillId="0" borderId="0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quotePrefix="1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70" fontId="11" fillId="0" borderId="0" xfId="68" applyNumberFormat="1" applyFont="1" applyFill="1" applyBorder="1" applyAlignment="1">
      <alignment vertical="center"/>
    </xf>
    <xf numFmtId="171" fontId="11" fillId="0" borderId="0" xfId="68" applyNumberFormat="1" applyFont="1" applyFill="1" applyAlignment="1">
      <alignment vertical="center"/>
    </xf>
    <xf numFmtId="170" fontId="14" fillId="0" borderId="2" xfId="69" applyNumberFormat="1" applyFont="1" applyFill="1" applyAlignment="1">
      <alignment vertical="center"/>
    </xf>
    <xf numFmtId="170" fontId="4" fillId="0" borderId="0" xfId="1" applyNumberFormat="1" applyFont="1" applyBorder="1" applyAlignment="1">
      <alignment vertical="center"/>
    </xf>
    <xf numFmtId="170" fontId="11" fillId="0" borderId="0" xfId="68" applyNumberFormat="1" applyFont="1" applyBorder="1" applyAlignment="1">
      <alignment vertical="center"/>
    </xf>
    <xf numFmtId="170" fontId="11" fillId="0" borderId="0" xfId="68" applyNumberFormat="1" applyFont="1" applyFill="1" applyAlignment="1">
      <alignment vertical="center"/>
    </xf>
    <xf numFmtId="170" fontId="11" fillId="0" borderId="0" xfId="68" applyNumberFormat="1" applyFont="1" applyAlignment="1">
      <alignment vertical="center"/>
    </xf>
    <xf numFmtId="170" fontId="11" fillId="0" borderId="7" xfId="1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30" fillId="3" borderId="0" xfId="5" applyFont="1" applyFill="1" applyBorder="1" applyAlignment="1">
      <alignment horizontal="center" vertical="center"/>
    </xf>
    <xf numFmtId="169" fontId="10" fillId="3" borderId="0" xfId="5" quotePrefix="1" applyNumberFormat="1" applyFont="1" applyFill="1" applyBorder="1" applyAlignment="1">
      <alignment horizontal="center" vertical="center" wrapText="1"/>
    </xf>
    <xf numFmtId="49" fontId="10" fillId="3" borderId="0" xfId="6" applyNumberFormat="1" applyFont="1" applyFill="1" applyBorder="1" applyAlignment="1">
      <alignment vertical="center"/>
    </xf>
    <xf numFmtId="49" fontId="10" fillId="0" borderId="0" xfId="6" applyNumberFormat="1" applyFont="1" applyBorder="1" applyAlignment="1">
      <alignment vertical="center"/>
    </xf>
    <xf numFmtId="2" fontId="11" fillId="0" borderId="0" xfId="7" applyNumberFormat="1" applyFont="1" applyBorder="1" applyAlignment="1">
      <alignment horizontal="center" vertical="center"/>
    </xf>
    <xf numFmtId="2" fontId="10" fillId="0" borderId="0" xfId="6" applyNumberFormat="1" applyFont="1" applyBorder="1" applyAlignment="1">
      <alignment vertical="center"/>
    </xf>
    <xf numFmtId="9" fontId="11" fillId="0" borderId="0" xfId="4" applyNumberFormat="1" applyFont="1" applyBorder="1" applyAlignment="1">
      <alignment horizontal="center" vertical="center"/>
    </xf>
    <xf numFmtId="0" fontId="4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3" borderId="0" xfId="5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75" fontId="10" fillId="3" borderId="0" xfId="6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11" fillId="3" borderId="1" xfId="7" applyFont="1" applyFill="1" applyBorder="1" applyAlignment="1">
      <alignment vertical="center"/>
    </xf>
    <xf numFmtId="170" fontId="11" fillId="0" borderId="1" xfId="68" applyNumberFormat="1" applyFont="1" applyBorder="1" applyAlignment="1">
      <alignment horizontal="right" vertical="center"/>
    </xf>
    <xf numFmtId="49" fontId="11" fillId="3" borderId="0" xfId="7" applyFont="1" applyFill="1" applyAlignment="1">
      <alignment horizontal="left" vertical="center"/>
    </xf>
    <xf numFmtId="170" fontId="11" fillId="0" borderId="0" xfId="68" applyNumberFormat="1" applyFont="1" applyBorder="1" applyAlignment="1">
      <alignment horizontal="center" vertical="center"/>
    </xf>
    <xf numFmtId="49" fontId="11" fillId="3" borderId="0" xfId="7" applyNumberFormat="1" applyFont="1" applyFill="1" applyAlignment="1">
      <alignment vertical="center"/>
    </xf>
    <xf numFmtId="49" fontId="10" fillId="3" borderId="3" xfId="7" applyFont="1" applyFill="1" applyBorder="1" applyAlignment="1">
      <alignment vertical="center"/>
    </xf>
    <xf numFmtId="49" fontId="11" fillId="3" borderId="3" xfId="7" applyFont="1" applyFill="1" applyBorder="1" applyAlignment="1">
      <alignment vertical="center"/>
    </xf>
    <xf numFmtId="170" fontId="11" fillId="0" borderId="3" xfId="68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9" fontId="10" fillId="3" borderId="3" xfId="7" applyFont="1" applyFill="1" applyBorder="1" applyAlignment="1">
      <alignment horizontal="left" vertical="center"/>
    </xf>
    <xf numFmtId="49" fontId="11" fillId="3" borderId="3" xfId="7" applyFont="1" applyFill="1" applyBorder="1" applyAlignment="1">
      <alignment horizontal="left" vertical="center"/>
    </xf>
    <xf numFmtId="17" fontId="4" fillId="0" borderId="0" xfId="0" quotePrefix="1" applyNumberFormat="1" applyFont="1" applyBorder="1" applyAlignment="1">
      <alignment horizontal="center" vertical="center" wrapText="1"/>
    </xf>
    <xf numFmtId="170" fontId="11" fillId="0" borderId="0" xfId="1" applyNumberFormat="1" applyFont="1" applyFill="1" applyAlignment="1">
      <alignment vertical="center"/>
    </xf>
    <xf numFmtId="170" fontId="11" fillId="0" borderId="0" xfId="1" applyNumberFormat="1" applyFont="1" applyFill="1" applyBorder="1" applyAlignment="1">
      <alignment vertical="center"/>
    </xf>
    <xf numFmtId="170" fontId="14" fillId="0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0" fontId="11" fillId="0" borderId="0" xfId="1" applyNumberFormat="1" applyFont="1" applyBorder="1" applyAlignment="1">
      <alignment vertical="center"/>
    </xf>
    <xf numFmtId="170" fontId="14" fillId="0" borderId="2" xfId="1" applyNumberFormat="1" applyFont="1" applyBorder="1" applyAlignment="1">
      <alignment vertical="center"/>
    </xf>
    <xf numFmtId="170" fontId="11" fillId="0" borderId="0" xfId="1" applyNumberFormat="1" applyFont="1" applyAlignment="1">
      <alignment vertical="center"/>
    </xf>
    <xf numFmtId="168" fontId="26" fillId="2" borderId="0" xfId="5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20" fillId="3" borderId="0" xfId="6" applyFont="1" applyFill="1" applyBorder="1" applyAlignment="1">
      <alignment horizontal="center" vertical="center"/>
    </xf>
    <xf numFmtId="175" fontId="20" fillId="3" borderId="0" xfId="6" applyNumberFormat="1" applyFont="1" applyFill="1" applyBorder="1" applyAlignment="1">
      <alignment horizontal="center" vertical="center"/>
    </xf>
    <xf numFmtId="0" fontId="20" fillId="0" borderId="0" xfId="6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70" fontId="17" fillId="0" borderId="0" xfId="1" applyNumberFormat="1" applyFont="1" applyBorder="1" applyAlignment="1">
      <alignment horizontal="center" vertical="center"/>
    </xf>
    <xf numFmtId="49" fontId="14" fillId="3" borderId="7" xfId="66" applyNumberFormat="1" applyFont="1" applyFill="1" applyAlignment="1">
      <alignment vertical="center"/>
    </xf>
    <xf numFmtId="0" fontId="20" fillId="3" borderId="0" xfId="6" applyFont="1" applyFill="1" applyBorder="1" applyAlignment="1">
      <alignment vertical="center"/>
    </xf>
    <xf numFmtId="0" fontId="22" fillId="0" borderId="0" xfId="6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4" fillId="3" borderId="0" xfId="7" applyFont="1" applyFill="1" applyBorder="1" applyAlignment="1">
      <alignment vertical="center"/>
    </xf>
    <xf numFmtId="170" fontId="23" fillId="0" borderId="0" xfId="1" applyNumberFormat="1" applyFont="1" applyBorder="1" applyAlignment="1">
      <alignment horizontal="center" vertical="center"/>
    </xf>
    <xf numFmtId="1" fontId="14" fillId="0" borderId="2" xfId="69" applyNumberFormat="1" applyFont="1" applyAlignment="1">
      <alignment vertical="center"/>
    </xf>
    <xf numFmtId="0" fontId="47" fillId="2" borderId="0" xfId="5" applyFont="1" applyFill="1" applyBorder="1" applyAlignment="1">
      <alignment vertical="center"/>
    </xf>
    <xf numFmtId="168" fontId="47" fillId="2" borderId="0" xfId="5" applyNumberFormat="1" applyFont="1" applyFill="1" applyBorder="1" applyAlignment="1">
      <alignment horizontal="left" vertical="center"/>
    </xf>
    <xf numFmtId="49" fontId="11" fillId="3" borderId="0" xfId="7" applyFont="1" applyFill="1" applyBorder="1"/>
    <xf numFmtId="49" fontId="11" fillId="3" borderId="3" xfId="7" applyFont="1" applyFill="1" applyBorder="1"/>
    <xf numFmtId="37" fontId="32" fillId="0" borderId="0" xfId="4" applyNumberFormat="1" applyFont="1" applyAlignment="1">
      <alignment horizontal="center" vertical="center"/>
    </xf>
    <xf numFmtId="4" fontId="17" fillId="0" borderId="0" xfId="1" applyNumberFormat="1" applyFont="1" applyFill="1" applyAlignment="1">
      <alignment horizontal="center"/>
    </xf>
    <xf numFmtId="3" fontId="17" fillId="4" borderId="0" xfId="1" applyNumberFormat="1" applyFont="1" applyFill="1" applyAlignment="1">
      <alignment horizontal="center"/>
    </xf>
    <xf numFmtId="49" fontId="14" fillId="3" borderId="2" xfId="7" applyFont="1" applyFill="1" applyBorder="1"/>
    <xf numFmtId="4" fontId="17" fillId="0" borderId="0" xfId="4" applyNumberFormat="1" applyFont="1" applyFill="1" applyAlignment="1">
      <alignment horizontal="center"/>
    </xf>
    <xf numFmtId="3" fontId="14" fillId="0" borderId="0" xfId="0" applyNumberFormat="1" applyFont="1"/>
    <xf numFmtId="9" fontId="14" fillId="0" borderId="0" xfId="0" applyNumberFormat="1" applyFont="1"/>
    <xf numFmtId="169" fontId="14" fillId="0" borderId="0" xfId="0" applyNumberFormat="1" applyFont="1"/>
    <xf numFmtId="49" fontId="2" fillId="0" borderId="0" xfId="7" applyFont="1" applyFill="1"/>
    <xf numFmtId="43" fontId="17" fillId="0" borderId="0" xfId="1" applyNumberFormat="1" applyFont="1" applyBorder="1"/>
    <xf numFmtId="49" fontId="11" fillId="0" borderId="0" xfId="7" applyFont="1" applyFill="1" applyBorder="1"/>
    <xf numFmtId="0" fontId="26" fillId="0" borderId="0" xfId="0" applyNumberFormat="1" applyFont="1"/>
    <xf numFmtId="0" fontId="26" fillId="0" borderId="0" xfId="0" applyFont="1"/>
    <xf numFmtId="3" fontId="14" fillId="0" borderId="0" xfId="2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3" fontId="14" fillId="0" borderId="0" xfId="0" applyNumberFormat="1" applyFont="1" applyFill="1" applyBorder="1"/>
    <xf numFmtId="3" fontId="14" fillId="3" borderId="0" xfId="68" applyNumberFormat="1" applyFont="1" applyFill="1" applyBorder="1" applyAlignment="1">
      <alignment horizontal="center"/>
    </xf>
    <xf numFmtId="49" fontId="1" fillId="0" borderId="0" xfId="7" applyFont="1" applyFill="1"/>
    <xf numFmtId="169" fontId="10" fillId="0" borderId="0" xfId="5" quotePrefix="1" applyNumberFormat="1" applyFont="1" applyFill="1" applyBorder="1" applyAlignment="1">
      <alignment horizontal="center" vertical="center" wrapText="1"/>
    </xf>
    <xf numFmtId="9" fontId="11" fillId="0" borderId="0" xfId="4" applyNumberFormat="1" applyFont="1" applyFill="1" applyBorder="1" applyAlignment="1">
      <alignment horizontal="center"/>
    </xf>
    <xf numFmtId="170" fontId="0" fillId="0" borderId="0" xfId="0" applyNumberFormat="1"/>
    <xf numFmtId="169" fontId="0" fillId="0" borderId="0" xfId="0" applyNumberFormat="1"/>
    <xf numFmtId="0" fontId="14" fillId="3" borderId="0" xfId="7" applyNumberFormat="1" applyFont="1" applyFill="1" applyBorder="1"/>
    <xf numFmtId="3" fontId="17" fillId="0" borderId="3" xfId="1" applyNumberFormat="1" applyFont="1" applyFill="1" applyBorder="1" applyAlignment="1">
      <alignment horizontal="center"/>
    </xf>
    <xf numFmtId="0" fontId="35" fillId="2" borderId="0" xfId="5" applyFont="1" applyFill="1" applyBorder="1" applyAlignment="1">
      <alignment vertical="center"/>
    </xf>
    <xf numFmtId="0" fontId="4" fillId="2" borderId="0" xfId="0" applyFont="1" applyFill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8" xfId="0" applyFont="1" applyBorder="1"/>
    <xf numFmtId="0" fontId="4" fillId="0" borderId="0" xfId="0" applyFont="1" applyAlignment="1"/>
    <xf numFmtId="0" fontId="17" fillId="0" borderId="20" xfId="0" applyFont="1" applyBorder="1" applyAlignment="1"/>
    <xf numFmtId="10" fontId="17" fillId="0" borderId="0" xfId="0" applyNumberFormat="1" applyFont="1" applyFill="1" applyBorder="1" applyAlignment="1">
      <alignment horizontal="center" vertical="center"/>
    </xf>
    <xf numFmtId="0" fontId="4" fillId="0" borderId="21" xfId="0" applyFont="1" applyBorder="1" applyAlignment="1"/>
    <xf numFmtId="10" fontId="17" fillId="6" borderId="0" xfId="0" applyNumberFormat="1" applyFont="1" applyFill="1" applyBorder="1" applyAlignment="1">
      <alignment horizontal="center" vertical="center"/>
    </xf>
    <xf numFmtId="0" fontId="17" fillId="0" borderId="18" xfId="0" applyFont="1" applyBorder="1" applyAlignment="1"/>
    <xf numFmtId="0" fontId="4" fillId="0" borderId="17" xfId="0" applyFont="1" applyBorder="1"/>
    <xf numFmtId="0" fontId="4" fillId="0" borderId="0" xfId="0" applyFont="1" applyFill="1" applyBorder="1" applyAlignment="1"/>
    <xf numFmtId="0" fontId="4" fillId="0" borderId="21" xfId="0" applyFont="1" applyBorder="1"/>
    <xf numFmtId="0" fontId="4" fillId="0" borderId="0" xfId="0" applyFont="1" applyFill="1" applyBorder="1"/>
    <xf numFmtId="0" fontId="17" fillId="7" borderId="0" xfId="0" applyFont="1" applyFill="1" applyBorder="1" applyAlignment="1">
      <alignment vertical="center"/>
    </xf>
    <xf numFmtId="37" fontId="17" fillId="7" borderId="0" xfId="0" applyNumberFormat="1" applyFont="1" applyFill="1" applyBorder="1" applyAlignment="1">
      <alignment horizontal="center" vertical="center"/>
    </xf>
    <xf numFmtId="37" fontId="17" fillId="0" borderId="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0" xfId="0" applyFont="1" applyAlignment="1"/>
    <xf numFmtId="0" fontId="21" fillId="3" borderId="0" xfId="0" applyFont="1" applyFill="1" applyBorder="1" applyAlignment="1">
      <alignment vertical="center"/>
    </xf>
    <xf numFmtId="177" fontId="21" fillId="3" borderId="0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9" fontId="17" fillId="0" borderId="0" xfId="4" applyFont="1" applyFill="1" applyBorder="1" applyAlignment="1">
      <alignment horizontal="center" vertical="center"/>
    </xf>
    <xf numFmtId="0" fontId="17" fillId="0" borderId="21" xfId="0" applyFont="1" applyBorder="1"/>
    <xf numFmtId="0" fontId="17" fillId="0" borderId="18" xfId="0" applyFont="1" applyBorder="1"/>
    <xf numFmtId="0" fontId="21" fillId="0" borderId="21" xfId="0" applyFont="1" applyBorder="1"/>
    <xf numFmtId="0" fontId="21" fillId="0" borderId="18" xfId="0" applyFont="1" applyBorder="1"/>
    <xf numFmtId="177" fontId="4" fillId="0" borderId="0" xfId="0" applyNumberFormat="1" applyFont="1" applyFill="1" applyBorder="1" applyAlignment="1"/>
    <xf numFmtId="0" fontId="17" fillId="0" borderId="0" xfId="0" applyFont="1" applyBorder="1" applyAlignment="1"/>
    <xf numFmtId="0" fontId="4" fillId="0" borderId="0" xfId="0" applyFont="1" applyBorder="1" applyAlignment="1"/>
    <xf numFmtId="178" fontId="4" fillId="0" borderId="0" xfId="0" applyNumberFormat="1" applyFont="1" applyBorder="1" applyAlignment="1"/>
    <xf numFmtId="179" fontId="17" fillId="6" borderId="0" xfId="0" applyNumberFormat="1" applyFont="1" applyFill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/>
    </xf>
    <xf numFmtId="37" fontId="17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37" fontId="17" fillId="0" borderId="0" xfId="0" applyNumberFormat="1" applyFont="1" applyBorder="1" applyAlignment="1">
      <alignment horizontal="center"/>
    </xf>
    <xf numFmtId="37" fontId="4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0" borderId="19" xfId="0" applyFont="1" applyBorder="1" applyAlignment="1"/>
    <xf numFmtId="10" fontId="49" fillId="0" borderId="19" xfId="0" applyNumberFormat="1" applyFont="1" applyBorder="1" applyAlignment="1">
      <alignment horizontal="center"/>
    </xf>
    <xf numFmtId="37" fontId="17" fillId="0" borderId="18" xfId="0" applyNumberFormat="1" applyFont="1" applyBorder="1" applyAlignment="1">
      <alignment horizontal="center"/>
    </xf>
    <xf numFmtId="180" fontId="17" fillId="5" borderId="18" xfId="0" applyNumberFormat="1" applyFont="1" applyFill="1" applyBorder="1" applyAlignment="1">
      <alignment horizontal="center"/>
    </xf>
    <xf numFmtId="0" fontId="17" fillId="0" borderId="19" xfId="0" applyFont="1" applyBorder="1"/>
    <xf numFmtId="180" fontId="17" fillId="0" borderId="18" xfId="0" applyNumberFormat="1" applyFont="1" applyBorder="1" applyAlignment="1">
      <alignment horizontal="center"/>
    </xf>
    <xf numFmtId="10" fontId="17" fillId="8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37" fontId="32" fillId="0" borderId="0" xfId="4" applyNumberFormat="1" applyFont="1" applyBorder="1" applyAlignment="1">
      <alignment horizontal="center" vertical="center"/>
    </xf>
    <xf numFmtId="0" fontId="6" fillId="3" borderId="3" xfId="0" applyFont="1" applyFill="1" applyBorder="1"/>
    <xf numFmtId="37" fontId="32" fillId="0" borderId="3" xfId="4" applyNumberFormat="1" applyFont="1" applyBorder="1" applyAlignment="1">
      <alignment horizontal="center" vertical="center"/>
    </xf>
    <xf numFmtId="49" fontId="10" fillId="3" borderId="0" xfId="7" applyFont="1" applyFill="1" applyBorder="1"/>
    <xf numFmtId="0" fontId="18" fillId="3" borderId="2" xfId="0" applyFont="1" applyFill="1" applyBorder="1"/>
    <xf numFmtId="10" fontId="18" fillId="0" borderId="2" xfId="4" applyNumberFormat="1" applyFont="1" applyBorder="1" applyAlignment="1">
      <alignment horizontal="center"/>
    </xf>
    <xf numFmtId="37" fontId="32" fillId="0" borderId="0" xfId="4" applyNumberFormat="1" applyFont="1" applyFill="1" applyAlignment="1">
      <alignment horizontal="center" vertical="center"/>
    </xf>
    <xf numFmtId="0" fontId="52" fillId="0" borderId="0" xfId="0" applyFont="1" applyFill="1"/>
    <xf numFmtId="49" fontId="14" fillId="0" borderId="3" xfId="7" applyFont="1" applyFill="1" applyBorder="1"/>
    <xf numFmtId="174" fontId="35" fillId="2" borderId="0" xfId="6" applyNumberFormat="1" applyFont="1" applyFill="1" applyBorder="1" applyAlignment="1">
      <alignment horizontal="left"/>
    </xf>
    <xf numFmtId="0" fontId="18" fillId="0" borderId="0" xfId="0" applyFont="1" applyBorder="1"/>
    <xf numFmtId="170" fontId="18" fillId="0" borderId="0" xfId="0" applyNumberFormat="1" applyFont="1" applyBorder="1"/>
    <xf numFmtId="0" fontId="35" fillId="2" borderId="0" xfId="0" applyFont="1" applyFill="1" applyBorder="1"/>
    <xf numFmtId="170" fontId="18" fillId="0" borderId="0" xfId="0" applyNumberFormat="1" applyFont="1" applyFill="1" applyBorder="1"/>
    <xf numFmtId="0" fontId="18" fillId="4" borderId="0" xfId="0" applyFont="1" applyFill="1" applyBorder="1"/>
    <xf numFmtId="0" fontId="17" fillId="4" borderId="0" xfId="0" applyFont="1" applyFill="1" applyBorder="1"/>
    <xf numFmtId="168" fontId="35" fillId="3" borderId="0" xfId="5" applyNumberFormat="1" applyFont="1" applyFill="1" applyBorder="1" applyAlignment="1"/>
    <xf numFmtId="170" fontId="35" fillId="2" borderId="0" xfId="1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left"/>
    </xf>
    <xf numFmtId="49" fontId="14" fillId="3" borderId="0" xfId="7" applyFont="1" applyFill="1" applyBorder="1" applyAlignment="1">
      <alignment horizontal="left" vertical="center"/>
    </xf>
    <xf numFmtId="9" fontId="20" fillId="4" borderId="0" xfId="4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20" fillId="3" borderId="3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horizontal="left" vertical="top"/>
    </xf>
    <xf numFmtId="49" fontId="11" fillId="3" borderId="29" xfId="7" applyFont="1" applyFill="1" applyBorder="1" applyAlignment="1">
      <alignment vertical="center"/>
    </xf>
    <xf numFmtId="170" fontId="11" fillId="0" borderId="29" xfId="68" applyNumberFormat="1" applyFont="1" applyBorder="1" applyAlignment="1">
      <alignment horizontal="right" vertical="center"/>
    </xf>
    <xf numFmtId="49" fontId="11" fillId="3" borderId="30" xfId="7" applyFont="1" applyFill="1" applyBorder="1" applyAlignment="1">
      <alignment vertical="center"/>
    </xf>
    <xf numFmtId="170" fontId="11" fillId="0" borderId="30" xfId="68" applyNumberFormat="1" applyFont="1" applyBorder="1" applyAlignment="1">
      <alignment horizontal="right" vertical="center"/>
    </xf>
    <xf numFmtId="168" fontId="14" fillId="0" borderId="0" xfId="5" applyNumberFormat="1" applyFont="1" applyFill="1" applyBorder="1" applyAlignment="1"/>
    <xf numFmtId="0" fontId="39" fillId="2" borderId="0" xfId="0" applyFont="1" applyFill="1" applyBorder="1"/>
    <xf numFmtId="168" fontId="14" fillId="3" borderId="0" xfId="5" applyNumberFormat="1" applyFont="1" applyFill="1" applyBorder="1" applyAlignment="1"/>
    <xf numFmtId="49" fontId="14" fillId="3" borderId="28" xfId="7" applyFont="1" applyFill="1" applyBorder="1"/>
    <xf numFmtId="168" fontId="14" fillId="3" borderId="28" xfId="5" applyNumberFormat="1" applyFont="1" applyFill="1" applyBorder="1" applyAlignment="1"/>
    <xf numFmtId="170" fontId="14" fillId="0" borderId="28" xfId="1" applyNumberFormat="1" applyFont="1" applyFill="1" applyBorder="1" applyAlignment="1">
      <alignment horizontal="center"/>
    </xf>
    <xf numFmtId="170" fontId="33" fillId="3" borderId="0" xfId="0" applyNumberFormat="1" applyFont="1" applyFill="1" applyBorder="1"/>
    <xf numFmtId="0" fontId="0" fillId="3" borderId="0" xfId="0" applyFill="1"/>
    <xf numFmtId="170" fontId="11" fillId="0" borderId="29" xfId="68" applyNumberFormat="1" applyFont="1" applyFill="1" applyBorder="1" applyAlignment="1">
      <alignment horizontal="right" vertical="center"/>
    </xf>
    <xf numFmtId="168" fontId="35" fillId="2" borderId="0" xfId="5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8" fontId="35" fillId="2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37" fontId="14" fillId="4" borderId="0" xfId="1" applyNumberFormat="1" applyFont="1" applyFill="1" applyBorder="1" applyAlignment="1">
      <alignment horizontal="center"/>
    </xf>
    <xf numFmtId="10" fontId="14" fillId="3" borderId="0" xfId="4" applyNumberFormat="1" applyFont="1" applyFill="1" applyBorder="1" applyAlignment="1">
      <alignment horizontal="center"/>
    </xf>
    <xf numFmtId="0" fontId="20" fillId="0" borderId="0" xfId="0" applyFont="1" applyFill="1" applyBorder="1"/>
    <xf numFmtId="174" fontId="35" fillId="0" borderId="0" xfId="6" applyNumberFormat="1" applyFont="1" applyFill="1" applyBorder="1" applyAlignment="1">
      <alignment horizontal="center"/>
    </xf>
    <xf numFmtId="167" fontId="20" fillId="0" borderId="0" xfId="66" applyNumberFormat="1" applyFont="1" applyFill="1" applyBorder="1" applyAlignment="1">
      <alignment horizontal="left"/>
    </xf>
    <xf numFmtId="0" fontId="17" fillId="0" borderId="29" xfId="0" applyFont="1" applyBorder="1"/>
    <xf numFmtId="166" fontId="17" fillId="0" borderId="29" xfId="1" applyNumberFormat="1" applyFont="1" applyBorder="1" applyAlignment="1">
      <alignment horizontal="right"/>
    </xf>
    <xf numFmtId="172" fontId="14" fillId="3" borderId="0" xfId="68" applyNumberFormat="1" applyFont="1" applyFill="1" applyBorder="1" applyAlignment="1">
      <alignment horizontal="center"/>
    </xf>
    <xf numFmtId="37" fontId="14" fillId="0" borderId="0" xfId="1" applyNumberFormat="1" applyFont="1" applyFill="1" applyBorder="1" applyAlignment="1">
      <alignment horizontal="center"/>
    </xf>
    <xf numFmtId="37" fontId="14" fillId="0" borderId="0" xfId="1" applyNumberFormat="1" applyFont="1" applyBorder="1" applyAlignment="1">
      <alignment horizontal="center"/>
    </xf>
    <xf numFmtId="49" fontId="14" fillId="4" borderId="0" xfId="7" applyFont="1" applyFill="1" applyBorder="1" applyAlignment="1">
      <alignment horizontal="center"/>
    </xf>
    <xf numFmtId="0" fontId="38" fillId="0" borderId="0" xfId="0" applyFont="1" applyFill="1" applyBorder="1"/>
    <xf numFmtId="0" fontId="39" fillId="0" borderId="0" xfId="0" applyFont="1" applyFill="1" applyBorder="1"/>
    <xf numFmtId="0" fontId="35" fillId="2" borderId="0" xfId="6" applyFont="1" applyFill="1" applyBorder="1" applyAlignment="1">
      <alignment horizontal="center" vertical="center"/>
    </xf>
    <xf numFmtId="0" fontId="35" fillId="3" borderId="0" xfId="6" applyFont="1" applyFill="1" applyBorder="1" applyAlignment="1">
      <alignment horizontal="center" vertical="center"/>
    </xf>
    <xf numFmtId="49" fontId="14" fillId="3" borderId="0" xfId="7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14" fillId="4" borderId="0" xfId="68" applyNumberFormat="1" applyFont="1" applyFill="1" applyBorder="1" applyAlignment="1">
      <alignment horizontal="center" vertical="center"/>
    </xf>
    <xf numFmtId="170" fontId="14" fillId="0" borderId="0" xfId="68" applyNumberFormat="1" applyFont="1" applyFill="1" applyBorder="1" applyAlignment="1">
      <alignment horizontal="center" vertical="center"/>
    </xf>
    <xf numFmtId="3" fontId="14" fillId="0" borderId="0" xfId="68" applyNumberFormat="1" applyFont="1" applyBorder="1" applyAlignment="1">
      <alignment horizontal="center" vertical="center"/>
    </xf>
    <xf numFmtId="3" fontId="14" fillId="0" borderId="7" xfId="66" applyNumberFormat="1" applyFont="1" applyAlignment="1">
      <alignment horizontal="center" vertical="center"/>
    </xf>
    <xf numFmtId="3" fontId="22" fillId="0" borderId="0" xfId="6" applyNumberFormat="1" applyFont="1" applyBorder="1" applyAlignment="1">
      <alignment horizontal="center" vertical="center"/>
    </xf>
    <xf numFmtId="3" fontId="17" fillId="0" borderId="0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0" fontId="14" fillId="4" borderId="0" xfId="68" applyNumberFormat="1" applyFont="1" applyFill="1" applyBorder="1" applyAlignment="1">
      <alignment horizontal="center"/>
    </xf>
    <xf numFmtId="3" fontId="14" fillId="0" borderId="2" xfId="69" applyNumberFormat="1" applyFont="1" applyAlignment="1">
      <alignment horizontal="center" vertical="center"/>
    </xf>
    <xf numFmtId="49" fontId="20" fillId="3" borderId="2" xfId="66" applyNumberFormat="1" applyFont="1" applyFill="1" applyBorder="1" applyAlignment="1">
      <alignment vertical="center"/>
    </xf>
    <xf numFmtId="0" fontId="0" fillId="3" borderId="2" xfId="0" applyFill="1" applyBorder="1"/>
    <xf numFmtId="3" fontId="17" fillId="0" borderId="2" xfId="0" applyNumberFormat="1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0" fillId="2" borderId="0" xfId="0" applyFill="1"/>
    <xf numFmtId="0" fontId="35" fillId="2" borderId="0" xfId="0" applyFont="1" applyFill="1" applyBorder="1" applyAlignment="1">
      <alignment horizontal="center"/>
    </xf>
    <xf numFmtId="1" fontId="35" fillId="0" borderId="0" xfId="5" applyNumberFormat="1" applyFont="1" applyFill="1" applyBorder="1" applyAlignment="1">
      <alignment horizontal="center"/>
    </xf>
    <xf numFmtId="175" fontId="35" fillId="0" borderId="0" xfId="6" applyNumberFormat="1" applyFont="1" applyFill="1" applyBorder="1" applyAlignment="1">
      <alignment horizontal="center"/>
    </xf>
    <xf numFmtId="168" fontId="14" fillId="0" borderId="28" xfId="5" applyNumberFormat="1" applyFont="1" applyFill="1" applyBorder="1" applyAlignment="1"/>
    <xf numFmtId="0" fontId="0" fillId="0" borderId="0" xfId="0" applyFill="1"/>
    <xf numFmtId="0" fontId="0" fillId="0" borderId="0" xfId="0" applyFill="1" applyBorder="1"/>
    <xf numFmtId="37" fontId="14" fillId="0" borderId="28" xfId="1" applyNumberFormat="1" applyFont="1" applyFill="1" applyBorder="1" applyAlignment="1">
      <alignment horizontal="center"/>
    </xf>
    <xf numFmtId="0" fontId="23" fillId="0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14" fillId="3" borderId="0" xfId="0" applyFont="1" applyFill="1" applyAlignment="1">
      <alignment horizontal="left" vertical="top" indent="1"/>
    </xf>
    <xf numFmtId="0" fontId="14" fillId="3" borderId="1" xfId="0" applyFont="1" applyFill="1" applyBorder="1" applyAlignment="1">
      <alignment horizontal="left" vertical="top" indent="1"/>
    </xf>
    <xf numFmtId="10" fontId="14" fillId="4" borderId="0" xfId="4" applyNumberFormat="1" applyFont="1" applyFill="1" applyAlignment="1">
      <alignment horizontal="center" vertical="top"/>
    </xf>
    <xf numFmtId="10" fontId="18" fillId="0" borderId="3" xfId="4" applyNumberFormat="1" applyFont="1" applyFill="1" applyBorder="1" applyAlignment="1">
      <alignment horizontal="center" vertical="top"/>
    </xf>
    <xf numFmtId="10" fontId="23" fillId="0" borderId="0" xfId="4" applyNumberFormat="1" applyFont="1" applyFill="1" applyAlignment="1">
      <alignment horizontal="center" vertical="top"/>
    </xf>
    <xf numFmtId="2" fontId="17" fillId="4" borderId="0" xfId="0" applyNumberFormat="1" applyFont="1" applyFill="1" applyAlignment="1">
      <alignment horizontal="center" vertical="top"/>
    </xf>
    <xf numFmtId="181" fontId="18" fillId="0" borderId="3" xfId="4" applyNumberFormat="1" applyFont="1" applyFill="1" applyBorder="1" applyAlignment="1">
      <alignment horizontal="center" vertical="top"/>
    </xf>
    <xf numFmtId="10" fontId="18" fillId="3" borderId="2" xfId="4" applyNumberFormat="1" applyFont="1" applyFill="1" applyBorder="1" applyAlignment="1">
      <alignment horizontal="center" vertical="top"/>
    </xf>
    <xf numFmtId="169" fontId="20" fillId="0" borderId="0" xfId="5" quotePrefix="1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/>
    <xf numFmtId="170" fontId="14" fillId="0" borderId="0" xfId="0" applyNumberFormat="1" applyFont="1" applyFill="1" applyBorder="1"/>
    <xf numFmtId="170" fontId="14" fillId="0" borderId="0" xfId="68" applyNumberFormat="1" applyFont="1" applyFill="1" applyBorder="1" applyAlignment="1">
      <alignment horizontal="right" vertical="center"/>
    </xf>
    <xf numFmtId="49" fontId="14" fillId="0" borderId="0" xfId="7" applyFont="1" applyFill="1" applyBorder="1" applyAlignment="1">
      <alignment vertical="center"/>
    </xf>
    <xf numFmtId="49" fontId="20" fillId="0" borderId="0" xfId="66" applyNumberFormat="1" applyFont="1" applyFill="1" applyBorder="1" applyAlignment="1">
      <alignment vertical="center"/>
    </xf>
    <xf numFmtId="170" fontId="14" fillId="0" borderId="0" xfId="66" applyNumberFormat="1" applyFont="1" applyFill="1" applyBorder="1" applyAlignment="1">
      <alignment vertical="center"/>
    </xf>
    <xf numFmtId="49" fontId="20" fillId="3" borderId="32" xfId="7" applyFont="1" applyFill="1" applyBorder="1" applyAlignment="1">
      <alignment horizontal="left" vertical="center"/>
    </xf>
    <xf numFmtId="49" fontId="14" fillId="3" borderId="32" xfId="7" applyFont="1" applyFill="1" applyBorder="1" applyAlignment="1">
      <alignment horizontal="left" vertical="center"/>
    </xf>
    <xf numFmtId="170" fontId="14" fillId="0" borderId="32" xfId="68" applyNumberFormat="1" applyFont="1" applyBorder="1" applyAlignment="1">
      <alignment horizontal="right" vertical="center"/>
    </xf>
    <xf numFmtId="37" fontId="17" fillId="4" borderId="0" xfId="0" applyNumberFormat="1" applyFont="1" applyFill="1" applyBorder="1" applyAlignment="1">
      <alignment horizontal="center"/>
    </xf>
    <xf numFmtId="37" fontId="17" fillId="0" borderId="0" xfId="4" applyNumberFormat="1" applyFont="1" applyBorder="1" applyAlignment="1">
      <alignment horizontal="center" vertical="center"/>
    </xf>
    <xf numFmtId="3" fontId="32" fillId="0" borderId="29" xfId="4" applyNumberFormat="1" applyFont="1" applyBorder="1" applyAlignment="1">
      <alignment horizontal="center" vertical="center"/>
    </xf>
    <xf numFmtId="37" fontId="17" fillId="0" borderId="28" xfId="0" applyNumberFormat="1" applyFont="1" applyFill="1" applyBorder="1" applyAlignment="1">
      <alignment horizontal="center"/>
    </xf>
    <xf numFmtId="49" fontId="14" fillId="3" borderId="0" xfId="7" applyFont="1" applyFill="1" applyAlignment="1">
      <alignment horizontal="left" indent="1"/>
    </xf>
    <xf numFmtId="0" fontId="35" fillId="9" borderId="0" xfId="0" applyFont="1" applyFill="1" applyBorder="1" applyAlignment="1"/>
    <xf numFmtId="0" fontId="26" fillId="9" borderId="0" xfId="0" applyFont="1" applyFill="1" applyBorder="1" applyAlignment="1"/>
    <xf numFmtId="0" fontId="17" fillId="3" borderId="0" xfId="0" applyFont="1" applyFill="1" applyBorder="1" applyAlignment="1"/>
    <xf numFmtId="178" fontId="17" fillId="3" borderId="0" xfId="0" applyNumberFormat="1" applyFont="1" applyFill="1" applyBorder="1" applyAlignment="1"/>
    <xf numFmtId="169" fontId="35" fillId="2" borderId="0" xfId="5" quotePrefix="1" applyNumberFormat="1" applyFont="1" applyFill="1" applyBorder="1" applyAlignment="1">
      <alignment horizontal="center" vertical="center" wrapText="1"/>
    </xf>
    <xf numFmtId="179" fontId="17" fillId="3" borderId="0" xfId="0" applyNumberFormat="1" applyFont="1" applyFill="1" applyBorder="1" applyAlignment="1">
      <alignment horizontal="center" vertical="center"/>
    </xf>
    <xf numFmtId="179" fontId="17" fillId="3" borderId="0" xfId="0" applyNumberFormat="1" applyFont="1" applyFill="1" applyBorder="1" applyAlignment="1">
      <alignment horizontal="center"/>
    </xf>
    <xf numFmtId="37" fontId="17" fillId="3" borderId="0" xfId="0" applyNumberFormat="1" applyFont="1" applyFill="1" applyBorder="1" applyAlignment="1">
      <alignment horizontal="center"/>
    </xf>
    <xf numFmtId="37" fontId="18" fillId="3" borderId="0" xfId="0" applyNumberFormat="1" applyFont="1" applyFill="1" applyBorder="1" applyAlignment="1">
      <alignment horizontal="center"/>
    </xf>
    <xf numFmtId="10" fontId="50" fillId="0" borderId="20" xfId="0" applyNumberFormat="1" applyFont="1" applyBorder="1" applyAlignment="1">
      <alignment horizontal="right"/>
    </xf>
    <xf numFmtId="9" fontId="49" fillId="0" borderId="21" xfId="0" applyNumberFormat="1" applyFont="1" applyBorder="1" applyAlignment="1">
      <alignment horizontal="center"/>
    </xf>
    <xf numFmtId="0" fontId="17" fillId="0" borderId="21" xfId="0" applyFont="1" applyBorder="1" applyAlignment="1"/>
    <xf numFmtId="10" fontId="49" fillId="0" borderId="26" xfId="0" applyNumberFormat="1" applyFont="1" applyBorder="1" applyAlignment="1">
      <alignment horizontal="center"/>
    </xf>
    <xf numFmtId="10" fontId="49" fillId="0" borderId="35" xfId="0" applyNumberFormat="1" applyFont="1" applyBorder="1" applyAlignment="1">
      <alignment horizontal="center"/>
    </xf>
    <xf numFmtId="9" fontId="49" fillId="0" borderId="35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4" fillId="0" borderId="34" xfId="0" applyFont="1" applyBorder="1" applyAlignment="1"/>
    <xf numFmtId="177" fontId="17" fillId="0" borderId="0" xfId="0" applyNumberFormat="1" applyFont="1" applyBorder="1" applyAlignment="1"/>
    <xf numFmtId="9" fontId="49" fillId="0" borderId="34" xfId="0" applyNumberFormat="1" applyFont="1" applyBorder="1" applyAlignment="1">
      <alignment horizontal="center"/>
    </xf>
    <xf numFmtId="37" fontId="17" fillId="0" borderId="17" xfId="0" applyNumberFormat="1" applyFont="1" applyBorder="1" applyAlignment="1">
      <alignment horizontal="center"/>
    </xf>
    <xf numFmtId="0" fontId="17" fillId="0" borderId="34" xfId="0" applyFont="1" applyBorder="1"/>
    <xf numFmtId="10" fontId="17" fillId="0" borderId="0" xfId="0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/>
    <xf numFmtId="37" fontId="49" fillId="0" borderId="0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/>
    </xf>
    <xf numFmtId="174" fontId="17" fillId="0" borderId="0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80" fontId="17" fillId="0" borderId="0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/>
    <xf numFmtId="0" fontId="17" fillId="3" borderId="0" xfId="0" applyFont="1" applyFill="1" applyBorder="1" applyAlignment="1">
      <alignment horizontal="left" indent="1"/>
    </xf>
    <xf numFmtId="0" fontId="17" fillId="2" borderId="0" xfId="0" applyFont="1" applyFill="1" applyBorder="1" applyAlignment="1"/>
    <xf numFmtId="0" fontId="14" fillId="3" borderId="0" xfId="0" applyFont="1" applyFill="1" applyBorder="1" applyAlignment="1"/>
    <xf numFmtId="0" fontId="12" fillId="3" borderId="0" xfId="0" applyFont="1" applyFill="1" applyBorder="1"/>
    <xf numFmtId="177" fontId="55" fillId="3" borderId="0" xfId="0" applyNumberFormat="1" applyFont="1" applyFill="1" applyBorder="1" applyAlignment="1">
      <alignment horizontal="center" vertical="center"/>
    </xf>
    <xf numFmtId="9" fontId="49" fillId="0" borderId="0" xfId="0" applyNumberFormat="1" applyFont="1" applyBorder="1" applyAlignment="1">
      <alignment horizontal="center"/>
    </xf>
    <xf numFmtId="0" fontId="35" fillId="2" borderId="28" xfId="0" applyFont="1" applyFill="1" applyBorder="1" applyAlignment="1"/>
    <xf numFmtId="0" fontId="26" fillId="2" borderId="28" xfId="0" applyFont="1" applyFill="1" applyBorder="1" applyAlignment="1"/>
    <xf numFmtId="0" fontId="53" fillId="2" borderId="28" xfId="0" applyFont="1" applyFill="1" applyBorder="1"/>
    <xf numFmtId="37" fontId="35" fillId="2" borderId="28" xfId="0" applyNumberFormat="1" applyFont="1" applyFill="1" applyBorder="1" applyAlignment="1">
      <alignment horizontal="center"/>
    </xf>
    <xf numFmtId="37" fontId="26" fillId="2" borderId="28" xfId="0" applyNumberFormat="1" applyFont="1" applyFill="1" applyBorder="1" applyAlignment="1">
      <alignment horizontal="center"/>
    </xf>
    <xf numFmtId="0" fontId="26" fillId="2" borderId="0" xfId="0" applyFont="1" applyFill="1" applyBorder="1" applyAlignment="1"/>
    <xf numFmtId="37" fontId="14" fillId="0" borderId="35" xfId="0" applyNumberFormat="1" applyFont="1" applyBorder="1" applyAlignment="1">
      <alignment horizontal="center"/>
    </xf>
    <xf numFmtId="37" fontId="14" fillId="0" borderId="27" xfId="0" applyNumberFormat="1" applyFont="1" applyBorder="1" applyAlignment="1">
      <alignment horizontal="center"/>
    </xf>
    <xf numFmtId="10" fontId="14" fillId="0" borderId="27" xfId="0" applyNumberFormat="1" applyFont="1" applyBorder="1" applyAlignment="1">
      <alignment horizontal="center"/>
    </xf>
    <xf numFmtId="37" fontId="30" fillId="0" borderId="0" xfId="4" applyNumberFormat="1" applyFont="1" applyFill="1" applyBorder="1" applyAlignment="1">
      <alignment horizontal="center" vertical="center"/>
    </xf>
    <xf numFmtId="169" fontId="20" fillId="3" borderId="0" xfId="5" quotePrefix="1" applyNumberFormat="1" applyFont="1" applyFill="1" applyBorder="1" applyAlignment="1">
      <alignment horizontal="center" vertical="center" wrapText="1"/>
    </xf>
    <xf numFmtId="170" fontId="14" fillId="0" borderId="2" xfId="69" applyNumberFormat="1" applyAlignment="1">
      <alignment vertical="center"/>
    </xf>
    <xf numFmtId="169" fontId="20" fillId="3" borderId="36" xfId="5" quotePrefix="1" applyNumberFormat="1" applyFont="1" applyFill="1" applyBorder="1" applyAlignment="1">
      <alignment horizontal="center" vertical="center" wrapText="1"/>
    </xf>
    <xf numFmtId="37" fontId="14" fillId="3" borderId="36" xfId="0" applyNumberFormat="1" applyFont="1" applyFill="1" applyBorder="1" applyAlignment="1">
      <alignment horizontal="center" vertical="center"/>
    </xf>
    <xf numFmtId="37" fontId="14" fillId="3" borderId="8" xfId="0" applyNumberFormat="1" applyFont="1" applyFill="1" applyBorder="1" applyAlignment="1">
      <alignment horizontal="center" vertical="center"/>
    </xf>
    <xf numFmtId="169" fontId="20" fillId="3" borderId="0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>
      <alignment horizontal="center" vertical="center"/>
    </xf>
    <xf numFmtId="37" fontId="1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4" fillId="0" borderId="2" xfId="0" applyNumberFormat="1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9" fontId="14" fillId="3" borderId="36" xfId="0" applyNumberFormat="1" applyFont="1" applyFill="1" applyBorder="1" applyAlignment="1">
      <alignment horizontal="center" vertical="center"/>
    </xf>
    <xf numFmtId="9" fontId="14" fillId="3" borderId="8" xfId="0" applyNumberFormat="1" applyFont="1" applyFill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37" fillId="2" borderId="0" xfId="5" applyFont="1" applyFill="1" applyBorder="1" applyAlignment="1">
      <alignment vertical="center"/>
    </xf>
    <xf numFmtId="0" fontId="56" fillId="2" borderId="0" xfId="0" applyFont="1" applyFill="1"/>
    <xf numFmtId="0" fontId="4" fillId="3" borderId="0" xfId="0" applyFont="1" applyFill="1"/>
    <xf numFmtId="0" fontId="6" fillId="0" borderId="3" xfId="0" applyFont="1" applyFill="1" applyBorder="1"/>
    <xf numFmtId="0" fontId="18" fillId="0" borderId="2" xfId="0" applyFont="1" applyFill="1" applyBorder="1"/>
    <xf numFmtId="9" fontId="11" fillId="0" borderId="0" xfId="4" applyFont="1" applyFill="1" applyBorder="1" applyAlignment="1">
      <alignment horizontal="center"/>
    </xf>
    <xf numFmtId="39" fontId="17" fillId="4" borderId="0" xfId="0" applyNumberFormat="1" applyFont="1" applyFill="1" applyBorder="1" applyAlignment="1">
      <alignment horizontal="center"/>
    </xf>
    <xf numFmtId="49" fontId="17" fillId="3" borderId="0" xfId="0" applyNumberFormat="1" applyFont="1" applyFill="1"/>
    <xf numFmtId="169" fontId="20" fillId="3" borderId="0" xfId="5" quotePrefix="1" applyNumberFormat="1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vertical="center"/>
    </xf>
    <xf numFmtId="0" fontId="18" fillId="3" borderId="15" xfId="0" applyFont="1" applyFill="1" applyBorder="1" applyAlignment="1">
      <alignment vertical="center"/>
    </xf>
    <xf numFmtId="169" fontId="26" fillId="0" borderId="0" xfId="0" applyNumberFormat="1" applyFont="1" applyBorder="1" applyAlignment="1">
      <alignment vertical="center"/>
    </xf>
    <xf numFmtId="0" fontId="17" fillId="3" borderId="15" xfId="0" applyFont="1" applyFill="1" applyBorder="1" applyAlignment="1">
      <alignment horizontal="left" vertical="center" indent="1"/>
    </xf>
    <xf numFmtId="3" fontId="17" fillId="0" borderId="0" xfId="0" applyNumberFormat="1" applyFont="1" applyBorder="1" applyAlignment="1">
      <alignment horizontal="center" vertical="center"/>
    </xf>
    <xf numFmtId="0" fontId="18" fillId="3" borderId="9" xfId="0" applyFont="1" applyFill="1" applyBorder="1" applyAlignment="1">
      <alignment vertical="center"/>
    </xf>
    <xf numFmtId="0" fontId="17" fillId="3" borderId="15" xfId="0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1" xfId="7" applyNumberFormat="1" applyFont="1" applyFill="1" applyBorder="1" applyAlignment="1">
      <alignment vertical="center"/>
    </xf>
    <xf numFmtId="4" fontId="17" fillId="4" borderId="0" xfId="1" applyNumberFormat="1" applyFont="1" applyFill="1" applyAlignment="1">
      <alignment horizontal="center"/>
    </xf>
    <xf numFmtId="182" fontId="14" fillId="4" borderId="1" xfId="68" applyNumberFormat="1" applyFont="1" applyFill="1" applyBorder="1" applyAlignment="1">
      <alignment horizontal="center"/>
    </xf>
    <xf numFmtId="0" fontId="14" fillId="0" borderId="0" xfId="68" quotePrefix="1" applyNumberFormat="1" applyFont="1" applyBorder="1" applyAlignment="1">
      <alignment horizontal="left"/>
    </xf>
    <xf numFmtId="0" fontId="14" fillId="0" borderId="0" xfId="68" applyNumberFormat="1" applyFont="1" applyBorder="1" applyAlignment="1">
      <alignment horizontal="left"/>
    </xf>
    <xf numFmtId="173" fontId="14" fillId="4" borderId="0" xfId="68" applyNumberFormat="1" applyFont="1" applyFill="1" applyBorder="1" applyAlignment="1">
      <alignment horizontal="left"/>
    </xf>
    <xf numFmtId="173" fontId="14" fillId="4" borderId="1" xfId="68" applyNumberFormat="1" applyFont="1" applyFill="1" applyBorder="1" applyAlignment="1">
      <alignment horizontal="left"/>
    </xf>
    <xf numFmtId="168" fontId="35" fillId="2" borderId="0" xfId="5" applyNumberFormat="1" applyFont="1" applyFill="1" applyBorder="1" applyAlignment="1">
      <alignment horizontal="center"/>
    </xf>
    <xf numFmtId="0" fontId="35" fillId="2" borderId="31" xfId="0" applyFont="1" applyFill="1" applyBorder="1" applyAlignment="1">
      <alignment horizontal="center"/>
    </xf>
    <xf numFmtId="168" fontId="35" fillId="2" borderId="11" xfId="5" applyNumberFormat="1" applyFont="1" applyFill="1" applyBorder="1" applyAlignment="1">
      <alignment horizontal="center"/>
    </xf>
    <xf numFmtId="168" fontId="35" fillId="2" borderId="3" xfId="5" applyNumberFormat="1" applyFont="1" applyFill="1" applyBorder="1" applyAlignment="1">
      <alignment horizontal="center"/>
    </xf>
    <xf numFmtId="168" fontId="35" fillId="0" borderId="0" xfId="5" applyNumberFormat="1" applyFont="1" applyFill="1" applyBorder="1" applyAlignment="1">
      <alignment horizontal="center"/>
    </xf>
    <xf numFmtId="0" fontId="37" fillId="2" borderId="0" xfId="0" applyFont="1" applyFill="1" applyAlignment="1">
      <alignment horizontal="left" vertical="center"/>
    </xf>
    <xf numFmtId="0" fontId="18" fillId="3" borderId="1" xfId="0" applyFont="1" applyFill="1" applyBorder="1" applyAlignment="1">
      <alignment horizontal="right"/>
    </xf>
    <xf numFmtId="3" fontId="18" fillId="0" borderId="1" xfId="0" applyNumberFormat="1" applyFont="1" applyBorder="1" applyAlignment="1">
      <alignment horizontal="left"/>
    </xf>
    <xf numFmtId="168" fontId="37" fillId="2" borderId="0" xfId="5" applyNumberFormat="1" applyFont="1" applyFill="1" applyBorder="1" applyAlignment="1">
      <alignment horizontal="left"/>
    </xf>
    <xf numFmtId="0" fontId="35" fillId="2" borderId="0" xfId="6" applyFont="1" applyFill="1" applyBorder="1" applyAlignment="1">
      <alignment horizontal="center" vertical="center"/>
    </xf>
    <xf numFmtId="169" fontId="10" fillId="3" borderId="0" xfId="5" quotePrefix="1" applyNumberFormat="1" applyFont="1" applyFill="1" applyBorder="1" applyAlignment="1">
      <alignment horizontal="center" vertical="center" wrapText="1"/>
    </xf>
    <xf numFmtId="169" fontId="20" fillId="3" borderId="0" xfId="5" quotePrefix="1" applyNumberFormat="1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/>
    </xf>
    <xf numFmtId="0" fontId="47" fillId="2" borderId="0" xfId="5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33" xfId="5" applyFont="1" applyFill="1" applyBorder="1" applyAlignment="1">
      <alignment horizontal="center"/>
    </xf>
    <xf numFmtId="0" fontId="35" fillId="2" borderId="0" xfId="5" applyFont="1" applyFill="1" applyBorder="1" applyAlignment="1">
      <alignment horizontal="center"/>
    </xf>
    <xf numFmtId="0" fontId="47" fillId="2" borderId="0" xfId="5" applyFont="1" applyFill="1" applyBorder="1" applyAlignment="1">
      <alignment horizontal="center" vertical="center"/>
    </xf>
    <xf numFmtId="168" fontId="20" fillId="3" borderId="0" xfId="5" applyNumberFormat="1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 vertical="center" textRotation="90" wrapText="1"/>
    </xf>
    <xf numFmtId="10" fontId="51" fillId="3" borderId="0" xfId="0" applyNumberFormat="1" applyFont="1" applyFill="1" applyBorder="1" applyAlignment="1">
      <alignment horizontal="center"/>
    </xf>
    <xf numFmtId="0" fontId="26" fillId="10" borderId="24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  <xf numFmtId="0" fontId="26" fillId="10" borderId="25" xfId="0" applyFont="1" applyFill="1" applyBorder="1" applyAlignment="1">
      <alignment horizontal="center"/>
    </xf>
    <xf numFmtId="0" fontId="26" fillId="10" borderId="22" xfId="0" applyFont="1" applyFill="1" applyBorder="1" applyAlignment="1">
      <alignment horizontal="center"/>
    </xf>
    <xf numFmtId="0" fontId="26" fillId="10" borderId="23" xfId="0" applyFont="1" applyFill="1" applyBorder="1" applyAlignment="1">
      <alignment horizontal="center"/>
    </xf>
    <xf numFmtId="10" fontId="54" fillId="2" borderId="0" xfId="0" applyNumberFormat="1" applyFont="1" applyFill="1" applyBorder="1" applyAlignment="1">
      <alignment horizontal="center"/>
    </xf>
    <xf numFmtId="10" fontId="54" fillId="2" borderId="25" xfId="0" applyNumberFormat="1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 textRotation="90" wrapText="1"/>
    </xf>
    <xf numFmtId="0" fontId="26" fillId="10" borderId="34" xfId="0" applyFont="1" applyFill="1" applyBorder="1" applyAlignment="1">
      <alignment horizontal="center"/>
    </xf>
    <xf numFmtId="0" fontId="20" fillId="3" borderId="1" xfId="6" applyFont="1" applyFill="1" applyBorder="1" applyAlignment="1">
      <alignment horizontal="center" vertical="center"/>
    </xf>
  </cellXfs>
  <cellStyles count="71">
    <cellStyle name="Comma" xfId="1" builtinId="3"/>
    <cellStyle name="Currency" xfId="2" builtinId="4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Heading 1" xfId="5" builtinId="16" customBuiltin="1"/>
    <cellStyle name="Heading 2" xfId="6" builtinId="17" customBuiltin="1"/>
    <cellStyle name="Heading 3" xfId="7" builtinId="18" customBuiltin="1"/>
    <cellStyle name="Heading 4" xfId="68" builtinId="19" customBuilti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70" builtinId="8"/>
    <cellStyle name="Normal" xfId="0" builtinId="0"/>
    <cellStyle name="Normal_Financial Statements" xfId="3" xr:uid="{00000000-0005-0000-0000-000041000000}"/>
    <cellStyle name="Percent" xfId="4" builtinId="5"/>
    <cellStyle name="Title" xfId="69" builtinId="15" customBuiltin="1"/>
    <cellStyle name="Total" xfId="66" builtinId="25" customBuiltin="1"/>
    <cellStyle name="Total 2" xfId="67" xr:uid="{00000000-0005-0000-0000-000044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by</a:t>
            </a:r>
            <a:r>
              <a:rPr lang="en-US" baseline="0"/>
              <a:t>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Revenue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'Income Statement'!$C$4:$G$4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'Income Statement'!$C$5:$G$5</c:f>
              <c:numCache>
                <c:formatCode>_(* #,##0_);_(* \(#,##0\);_(* "-"??_);_(@_)</c:formatCode>
                <c:ptCount val="5"/>
                <c:pt idx="0">
                  <c:v>8290677.5941595696</c:v>
                </c:pt>
                <c:pt idx="1">
                  <c:v>19746566.755876143</c:v>
                </c:pt>
                <c:pt idx="2">
                  <c:v>47031969.849962562</c:v>
                </c:pt>
                <c:pt idx="3">
                  <c:v>112019786.29067466</c:v>
                </c:pt>
                <c:pt idx="4">
                  <c:v>266806441.67444789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7-D346-98FF-F9C595BEB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61040"/>
        <c:axId val="115162720"/>
      </c:barChart>
      <c:dateAx>
        <c:axId val="115161040"/>
        <c:scaling>
          <c:orientation val="minMax"/>
        </c:scaling>
        <c:delete val="0"/>
        <c:axPos val="b"/>
        <c:numFmt formatCode="[$-1009]\ 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15162720"/>
        <c:crosses val="autoZero"/>
        <c:auto val="1"/>
        <c:lblOffset val="100"/>
        <c:baseTimeUnit val="years"/>
      </c:dateAx>
      <c:valAx>
        <c:axId val="11516272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1516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IRR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IRR!$E$3:$I$3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IRR!$E$8:$I$8</c:f>
              <c:numCache>
                <c:formatCode>0.00%</c:formatCode>
                <c:ptCount val="5"/>
                <c:pt idx="0">
                  <c:v>-0.94318938302992839</c:v>
                </c:pt>
                <c:pt idx="1">
                  <c:v>-0.74593138169965123</c:v>
                </c:pt>
                <c:pt idx="2">
                  <c:v>-0.40534206904260262</c:v>
                </c:pt>
                <c:pt idx="3">
                  <c:v>-9.1756172976489969E-2</c:v>
                </c:pt>
                <c:pt idx="4">
                  <c:v>0.16196036511813428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A5-E84F-8EDA-6E4860DEE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237359"/>
        <c:axId val="131900687"/>
      </c:lineChart>
      <c:dateAx>
        <c:axId val="143237359"/>
        <c:scaling>
          <c:orientation val="minMax"/>
        </c:scaling>
        <c:delete val="0"/>
        <c:axPos val="b"/>
        <c:numFmt formatCode="[$-1009]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31900687"/>
        <c:crosses val="autoZero"/>
        <c:auto val="1"/>
        <c:lblOffset val="100"/>
        <c:baseTimeUnit val="years"/>
      </c:dateAx>
      <c:valAx>
        <c:axId val="131900687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3237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Revenue by Month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'Income Statement'!$C$37:$N$37</c:f>
              <c:numCache>
                <c:formatCode>mmm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'Income Statement'!$C$38:$N$38</c:f>
              <c:numCache>
                <c:formatCode>_(* #,##0_);_(* \(#,##0\);_(* "-"??_);_(@_)</c:formatCode>
                <c:ptCount val="12"/>
                <c:pt idx="0">
                  <c:v>450000</c:v>
                </c:pt>
                <c:pt idx="1">
                  <c:v>483750</c:v>
                </c:pt>
                <c:pt idx="2">
                  <c:v>520031.25</c:v>
                </c:pt>
                <c:pt idx="3">
                  <c:v>559033.59375</c:v>
                </c:pt>
                <c:pt idx="4">
                  <c:v>600961.11328125</c:v>
                </c:pt>
                <c:pt idx="5">
                  <c:v>646033.19677734375</c:v>
                </c:pt>
                <c:pt idx="6">
                  <c:v>694485.68653564458</c:v>
                </c:pt>
                <c:pt idx="7">
                  <c:v>746572.11302581779</c:v>
                </c:pt>
                <c:pt idx="8">
                  <c:v>802565.02150275395</c:v>
                </c:pt>
                <c:pt idx="9">
                  <c:v>862757.39811546053</c:v>
                </c:pt>
                <c:pt idx="10">
                  <c:v>927464.20297412004</c:v>
                </c:pt>
                <c:pt idx="11">
                  <c:v>997024.01819717907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0-6643-8F36-F67E1AE40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91600"/>
        <c:axId val="116860192"/>
      </c:barChart>
      <c:dateAx>
        <c:axId val="145791600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16860192"/>
        <c:crosses val="autoZero"/>
        <c:auto val="1"/>
        <c:lblOffset val="100"/>
        <c:baseTimeUnit val="months"/>
      </c:dateAx>
      <c:valAx>
        <c:axId val="1168601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579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'Balance Sheet'!$J$5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'Balance Sheet'!$K$4:$O$4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'Balance Sheet'!$K$5:$O$5</c:f>
              <c:numCache>
                <c:formatCode>_(* #,##0_);_(* \(#,##0\);_(* "-"??_);_(@_)</c:formatCode>
                <c:ptCount val="5"/>
                <c:pt idx="0">
                  <c:v>29010626.228186235</c:v>
                </c:pt>
                <c:pt idx="1">
                  <c:v>32764053.257869381</c:v>
                </c:pt>
                <c:pt idx="2">
                  <c:v>49606003.015646189</c:v>
                </c:pt>
                <c:pt idx="3">
                  <c:v>100407614.8137625</c:v>
                </c:pt>
                <c:pt idx="4">
                  <c:v>237362399.21243751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E-1F45-AD03-9CD43B8F2645}"/>
            </c:ext>
          </c:extLst>
        </c:ser>
        <c:ser>
          <c:idx val="1"/>
          <c:order val="1"/>
          <c:tx>
            <c:strRef>
              <c:f>'Balance Sheet'!$J$6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'Balance Sheet'!$K$4:$O$4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'Balance Sheet'!$K$6:$O$6</c:f>
              <c:numCache>
                <c:formatCode>_(* #,##0_);_(* \(#,##0\);_(* "-"??_);_(@_)</c:formatCode>
                <c:ptCount val="5"/>
                <c:pt idx="0">
                  <c:v>509016.39344262297</c:v>
                </c:pt>
                <c:pt idx="1">
                  <c:v>871106.55737704912</c:v>
                </c:pt>
                <c:pt idx="2">
                  <c:v>1552407.7868852459</c:v>
                </c:pt>
                <c:pt idx="3">
                  <c:v>2856800.7172131147</c:v>
                </c:pt>
                <c:pt idx="4">
                  <c:v>5384756.0194672132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E-1F45-AD03-9CD43B8F2645}"/>
            </c:ext>
          </c:extLst>
        </c:ser>
        <c:ser>
          <c:idx val="2"/>
          <c:order val="2"/>
          <c:tx>
            <c:strRef>
              <c:f>'Balance Sheet'!$J$7</c:f>
              <c:strCache>
                <c:ptCount val="1"/>
                <c:pt idx="0">
                  <c:v>Shareholder's Equity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'Balance Sheet'!$K$4:$O$4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'Balance Sheet'!$K$7:$O$7</c:f>
              <c:numCache>
                <c:formatCode>_(* #,##0_);_(* \(#,##0\);_(* "-"??_);_(@_)</c:formatCode>
                <c:ptCount val="5"/>
                <c:pt idx="0">
                  <c:v>28501609.834743612</c:v>
                </c:pt>
                <c:pt idx="1">
                  <c:v>31892946.70049233</c:v>
                </c:pt>
                <c:pt idx="2">
                  <c:v>48053595.22876095</c:v>
                </c:pt>
                <c:pt idx="3">
                  <c:v>97550814.096549392</c:v>
                </c:pt>
                <c:pt idx="4">
                  <c:v>231977643.19297034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6E-1F45-AD03-9CD43B8F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953295"/>
        <c:axId val="142954975"/>
      </c:areaChart>
      <c:dateAx>
        <c:axId val="142953295"/>
        <c:scaling>
          <c:orientation val="minMax"/>
        </c:scaling>
        <c:delete val="0"/>
        <c:axPos val="b"/>
        <c:numFmt formatCode="[$-1009]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2954975"/>
        <c:crosses val="autoZero"/>
        <c:auto val="1"/>
        <c:lblOffset val="100"/>
        <c:baseTimeUnit val="years"/>
      </c:dateAx>
      <c:valAx>
        <c:axId val="142954975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29532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Cash Balance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'Cash Flow'!$I$8</c:f>
              <c:strCache>
                <c:ptCount val="1"/>
                <c:pt idx="0">
                  <c:v>Net Cash Flow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numRef>
              <c:f>'Cash Flow'!$J$7:$N$7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'Cash Flow'!$J$8:$N$8</c:f>
              <c:numCache>
                <c:formatCode>_(* #,##0_);_(* \(#,##0\);_(* "-"??_);_(@_)</c:formatCode>
                <c:ptCount val="5"/>
                <c:pt idx="0">
                  <c:v>5681061.6970071578</c:v>
                </c:pt>
                <c:pt idx="1">
                  <c:v>5011706.7846671874</c:v>
                </c:pt>
                <c:pt idx="2">
                  <c:v>16039000.910742853</c:v>
                </c:pt>
                <c:pt idx="3">
                  <c:v>45089270.71786578</c:v>
                </c:pt>
                <c:pt idx="4">
                  <c:v>119549353.05372961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A-254C-B6D9-229F48D7D585}"/>
            </c:ext>
          </c:extLst>
        </c:ser>
        <c:ser>
          <c:idx val="1"/>
          <c:order val="1"/>
          <c:tx>
            <c:strRef>
              <c:f>'Cash Flow'!$I$9</c:f>
              <c:strCache>
                <c:ptCount val="1"/>
                <c:pt idx="0">
                  <c:v>Cash Balance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'Cash Flow'!$J$7:$N$7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'Cash Flow'!$J$9:$N$9</c:f>
              <c:numCache>
                <c:formatCode>_(* #,##0_);_(* \(#,##0\);_(* "-"??_);_(@_)</c:formatCode>
                <c:ptCount val="5"/>
                <c:pt idx="0">
                  <c:v>5681061.6970071578</c:v>
                </c:pt>
                <c:pt idx="1">
                  <c:v>10692768.481674347</c:v>
                </c:pt>
                <c:pt idx="2">
                  <c:v>26731769.3924172</c:v>
                </c:pt>
                <c:pt idx="3">
                  <c:v>71821040.110282972</c:v>
                </c:pt>
                <c:pt idx="4">
                  <c:v>191370393.16401258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8-C840-B930-CA23BAD0A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66992"/>
        <c:axId val="145775488"/>
      </c:barChart>
      <c:dateAx>
        <c:axId val="184666992"/>
        <c:scaling>
          <c:orientation val="minMax"/>
        </c:scaling>
        <c:delete val="0"/>
        <c:axPos val="b"/>
        <c:numFmt formatCode="[$-1009]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5775488"/>
        <c:crosses val="autoZero"/>
        <c:auto val="1"/>
        <c:lblOffset val="100"/>
        <c:baseTimeUnit val="years"/>
      </c:dateAx>
      <c:valAx>
        <c:axId val="14577548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8466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Highlights'!$A$18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numRef>
              <c:f>'Financial Highlights'!$B$17:$F$17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'Financial Highlights'!$B$18:$F$18</c:f>
              <c:numCache>
                <c:formatCode>#,##0</c:formatCode>
                <c:ptCount val="5"/>
                <c:pt idx="0">
                  <c:v>-1498390.1652563871</c:v>
                </c:pt>
                <c:pt idx="1">
                  <c:v>3391336.8657487184</c:v>
                </c:pt>
                <c:pt idx="2">
                  <c:v>16160648.528268619</c:v>
                </c:pt>
                <c:pt idx="3">
                  <c:v>49497218.867788449</c:v>
                </c:pt>
                <c:pt idx="4">
                  <c:v>134426829.09642094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3-7E4F-8E23-7E318F23C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8551152"/>
        <c:axId val="1428552832"/>
      </c:barChart>
      <c:lineChart>
        <c:grouping val="standard"/>
        <c:varyColors val="0"/>
        <c:ser>
          <c:idx val="1"/>
          <c:order val="1"/>
          <c:tx>
            <c:strRef>
              <c:f>'Financial Highlights'!$A$19</c:f>
              <c:strCache>
                <c:ptCount val="1"/>
                <c:pt idx="0">
                  <c:v>Profit margin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'Financial Highlights'!$B$17:$F$17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'Financial Highlights'!$B$19:$F$19</c:f>
              <c:numCache>
                <c:formatCode>0%</c:formatCode>
                <c:ptCount val="5"/>
                <c:pt idx="0">
                  <c:v>-0.18073193032038048</c:v>
                </c:pt>
                <c:pt idx="1">
                  <c:v>0.1717431140144669</c:v>
                </c:pt>
                <c:pt idx="2">
                  <c:v>0.34360985899214858</c:v>
                </c:pt>
                <c:pt idx="3">
                  <c:v>0.441861393480528</c:v>
                </c:pt>
                <c:pt idx="4">
                  <c:v>0.50383652003592172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3-7E4F-8E23-7E318F23C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233712"/>
        <c:axId val="1428232016"/>
      </c:lineChart>
      <c:dateAx>
        <c:axId val="1428551152"/>
        <c:scaling>
          <c:orientation val="minMax"/>
        </c:scaling>
        <c:delete val="0"/>
        <c:axPos val="b"/>
        <c:numFmt formatCode="[$-1009]\ 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28552832"/>
        <c:crosses val="autoZero"/>
        <c:auto val="1"/>
        <c:lblOffset val="100"/>
        <c:baseTimeUnit val="years"/>
      </c:dateAx>
      <c:valAx>
        <c:axId val="14285528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28551152"/>
        <c:crosses val="autoZero"/>
        <c:crossBetween val="between"/>
      </c:valAx>
      <c:valAx>
        <c:axId val="14282320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28233712"/>
        <c:crosses val="max"/>
        <c:crossBetween val="between"/>
      </c:valAx>
      <c:dateAx>
        <c:axId val="1428233712"/>
        <c:scaling>
          <c:orientation val="minMax"/>
        </c:scaling>
        <c:delete val="1"/>
        <c:axPos val="b"/>
        <c:numFmt formatCode="[$-1009]\ yyyy;@" sourceLinked="1"/>
        <c:majorTickMark val="none"/>
        <c:minorTickMark val="none"/>
        <c:tickLblPos val="nextTo"/>
        <c:crossAx val="1428232016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Highlights'!$I$4</c:f>
              <c:strCache>
                <c:ptCount val="1"/>
                <c:pt idx="0">
                  <c:v>Content Production &amp; Streaming Revenue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'Financial Highlights'!$J$3:$N$3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'Financial Highlights'!$J$4:$N$4</c:f>
              <c:numCache>
                <c:formatCode>#,##0</c:formatCode>
                <c:ptCount val="5"/>
                <c:pt idx="0">
                  <c:v>1612076.1988643608</c:v>
                </c:pt>
                <c:pt idx="1">
                  <c:v>3839610.2025314732</c:v>
                </c:pt>
                <c:pt idx="2">
                  <c:v>9145105.248603832</c:v>
                </c:pt>
                <c:pt idx="3">
                  <c:v>21781625.112075631</c:v>
                </c:pt>
                <c:pt idx="4">
                  <c:v>51879030.325587101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1-9E46-BB7F-3017EA4FCB7E}"/>
            </c:ext>
          </c:extLst>
        </c:ser>
        <c:ser>
          <c:idx val="1"/>
          <c:order val="1"/>
          <c:tx>
            <c:strRef>
              <c:f>'Financial Highlights'!$I$5</c:f>
              <c:strCache>
                <c:ptCount val="1"/>
                <c:pt idx="0">
                  <c:v>Metaverse Item &amp; Land Sales Revenue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numRef>
              <c:f>'Financial Highlights'!$J$3:$N$3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'Financial Highlights'!$J$5:$N$5</c:f>
              <c:numCache>
                <c:formatCode>#,##0</c:formatCode>
                <c:ptCount val="5"/>
                <c:pt idx="0">
                  <c:v>3224152.3977287211</c:v>
                </c:pt>
                <c:pt idx="1">
                  <c:v>7679220.4050629456</c:v>
                </c:pt>
                <c:pt idx="2">
                  <c:v>18290210.49720766</c:v>
                </c:pt>
                <c:pt idx="3">
                  <c:v>43563250.224151254</c:v>
                </c:pt>
                <c:pt idx="4">
                  <c:v>103758060.65117417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4-BD48-9939-948C93A6BA45}"/>
            </c:ext>
          </c:extLst>
        </c:ser>
        <c:ser>
          <c:idx val="2"/>
          <c:order val="2"/>
          <c:tx>
            <c:strRef>
              <c:f>'Financial Highlights'!$I$6</c:f>
              <c:strCache>
                <c:ptCount val="1"/>
                <c:pt idx="0">
                  <c:v>NFT &amp; VUCO Coin Transaction Revenue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numRef>
              <c:f>'Financial Highlights'!$J$3:$N$3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'Financial Highlights'!$J$6:$N$6</c:f>
              <c:numCache>
                <c:formatCode>#,##0</c:formatCode>
                <c:ptCount val="5"/>
                <c:pt idx="0">
                  <c:v>2072669.3985398926</c:v>
                </c:pt>
                <c:pt idx="1">
                  <c:v>4936641.6889690366</c:v>
                </c:pt>
                <c:pt idx="2">
                  <c:v>11757992.462490642</c:v>
                </c:pt>
                <c:pt idx="3">
                  <c:v>28004946.572668679</c:v>
                </c:pt>
                <c:pt idx="4">
                  <c:v>66701610.418611988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4-BD48-9939-948C93A6BA45}"/>
            </c:ext>
          </c:extLst>
        </c:ser>
        <c:ser>
          <c:idx val="3"/>
          <c:order val="3"/>
          <c:tx>
            <c:strRef>
              <c:f>'Financial Highlights'!$I$7</c:f>
              <c:strCache>
                <c:ptCount val="1"/>
                <c:pt idx="0">
                  <c:v>Digital Advertising &amp; Other Revenue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numRef>
              <c:f>'Financial Highlights'!$J$3:$N$3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'Financial Highlights'!$J$7:$N$7</c:f>
              <c:numCache>
                <c:formatCode>#,##0</c:formatCode>
                <c:ptCount val="5"/>
                <c:pt idx="0">
                  <c:v>1381779.599026595</c:v>
                </c:pt>
                <c:pt idx="1">
                  <c:v>3291094.4593126918</c:v>
                </c:pt>
                <c:pt idx="2">
                  <c:v>7838661.6416604267</c:v>
                </c:pt>
                <c:pt idx="3">
                  <c:v>18669964.381779116</c:v>
                </c:pt>
                <c:pt idx="4">
                  <c:v>44467740.279074654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4-BD48-9939-948C93A6B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2954064"/>
        <c:axId val="1426853904"/>
      </c:barChart>
      <c:dateAx>
        <c:axId val="1432954064"/>
        <c:scaling>
          <c:orientation val="minMax"/>
        </c:scaling>
        <c:delete val="0"/>
        <c:axPos val="b"/>
        <c:numFmt formatCode="[$-1009]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26853904"/>
        <c:crosses val="autoZero"/>
        <c:auto val="1"/>
        <c:lblOffset val="100"/>
        <c:baseTimeUnit val="years"/>
      </c:dateAx>
      <c:valAx>
        <c:axId val="14268539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3295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Sensitivity</a:t>
            </a:r>
            <a:r>
              <a:rPr lang="en-US" baseline="0"/>
              <a:t> Analysis </a:t>
            </a:r>
            <a:r>
              <a:rPr lang="en-US"/>
              <a:t>- Earnings Before Taxes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'Sensitivity Analysis'!$I$6</c:f>
              <c:strCache>
                <c:ptCount val="1"/>
                <c:pt idx="0">
                  <c:v>Best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'Sensitivity Analysis'!$J$5:$N$5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'Sensitivity Analysis'!$J$6:$N$6</c:f>
              <c:numCache>
                <c:formatCode>_(* #,##0_);_(* \(#,##0\);_(* "-"??_);_(@_)</c:formatCode>
                <c:ptCount val="5"/>
                <c:pt idx="0">
                  <c:v>-379148.69004484639</c:v>
                </c:pt>
                <c:pt idx="1">
                  <c:v>7060196.5923318043</c:v>
                </c:pt>
                <c:pt idx="2">
                  <c:v>26988713.794711247</c:v>
                </c:pt>
                <c:pt idx="3">
                  <c:v>78337510.060848251</c:v>
                </c:pt>
                <c:pt idx="4">
                  <c:v>207700643.69555354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B-BA4C-A02D-AADC0FC9B4EB}"/>
            </c:ext>
          </c:extLst>
        </c:ser>
        <c:ser>
          <c:idx val="1"/>
          <c:order val="1"/>
          <c:tx>
            <c:strRef>
              <c:f>'Sensitivity Analysis'!$I$7</c:f>
              <c:strCache>
                <c:ptCount val="1"/>
                <c:pt idx="0">
                  <c:v>Status Quo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'Sensitivity Analysis'!$J$5:$N$5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'Sensitivity Analysis'!$J$7:$N$7</c:f>
              <c:numCache>
                <c:formatCode>_(* #,##0_);_(* \(#,##0\);_(* "-"??_);_(@_)</c:formatCode>
                <c:ptCount val="5"/>
                <c:pt idx="0">
                  <c:v>-1498390.1652563871</c:v>
                </c:pt>
                <c:pt idx="1">
                  <c:v>4394410.0802885322</c:v>
                </c:pt>
                <c:pt idx="2">
                  <c:v>20639397.864966303</c:v>
                </c:pt>
                <c:pt idx="3">
                  <c:v>63214838.911607213</c:v>
                </c:pt>
                <c:pt idx="4">
                  <c:v>171681774.0695031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5B-BA4C-A02D-AADC0FC9B4EB}"/>
            </c:ext>
          </c:extLst>
        </c:ser>
        <c:ser>
          <c:idx val="2"/>
          <c:order val="2"/>
          <c:tx>
            <c:strRef>
              <c:f>'Sensitivity Analysis'!$I$8</c:f>
              <c:strCache>
                <c:ptCount val="1"/>
                <c:pt idx="0">
                  <c:v>Worst Case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'Sensitivity Analysis'!$J$5:$N$5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'Sensitivity Analysis'!$J$8:$N$8</c:f>
              <c:numCache>
                <c:formatCode>_(* #,##0_);_(* \(#,##0\);_(* "-"??_);_(@_)</c:formatCode>
                <c:ptCount val="5"/>
                <c:pt idx="0">
                  <c:v>-2617631.6404679287</c:v>
                </c:pt>
                <c:pt idx="1">
                  <c:v>1728623.5682452489</c:v>
                </c:pt>
                <c:pt idx="2">
                  <c:v>14290081.935221359</c:v>
                </c:pt>
                <c:pt idx="3">
                  <c:v>48092167.762366101</c:v>
                </c:pt>
                <c:pt idx="4">
                  <c:v>135662904.44345263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5B-BA4C-A02D-AADC0FC9B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29759"/>
        <c:axId val="146587503"/>
      </c:lineChart>
      <c:dateAx>
        <c:axId val="143529759"/>
        <c:scaling>
          <c:orientation val="minMax"/>
        </c:scaling>
        <c:delete val="0"/>
        <c:axPos val="b"/>
        <c:numFmt formatCode="[$-1009]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6587503"/>
        <c:crosses val="autoZero"/>
        <c:auto val="1"/>
        <c:lblOffset val="100"/>
        <c:baseTimeUnit val="years"/>
      </c:dateAx>
      <c:valAx>
        <c:axId val="146587503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3529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 Even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'Break Even Analysis'!$F$16</c:f>
              <c:strCache>
                <c:ptCount val="1"/>
                <c:pt idx="0">
                  <c:v>Net Profit 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'Break Even Analysis'!$A$17:$A$29</c:f>
              <c:numCache>
                <c:formatCode>#,##0</c:formatCode>
                <c:ptCount val="13"/>
                <c:pt idx="0">
                  <c:v>0</c:v>
                </c:pt>
                <c:pt idx="1">
                  <c:v>325000</c:v>
                </c:pt>
                <c:pt idx="2">
                  <c:v>650000</c:v>
                </c:pt>
                <c:pt idx="3">
                  <c:v>975000</c:v>
                </c:pt>
                <c:pt idx="4">
                  <c:v>1300000</c:v>
                </c:pt>
                <c:pt idx="5">
                  <c:v>1625000</c:v>
                </c:pt>
                <c:pt idx="6">
                  <c:v>1950000</c:v>
                </c:pt>
                <c:pt idx="7">
                  <c:v>2275000</c:v>
                </c:pt>
                <c:pt idx="8">
                  <c:v>2600000</c:v>
                </c:pt>
                <c:pt idx="9">
                  <c:v>2925000</c:v>
                </c:pt>
                <c:pt idx="10">
                  <c:v>3250000</c:v>
                </c:pt>
                <c:pt idx="11">
                  <c:v>3575000</c:v>
                </c:pt>
                <c:pt idx="12">
                  <c:v>3900000</c:v>
                </c:pt>
              </c:numCache>
            </c:numRef>
          </c:cat>
          <c:val>
            <c:numRef>
              <c:f>'Break Even Analysis'!$F$17:$F$29</c:f>
              <c:numCache>
                <c:formatCode>#,##0_);[Red]\(#,##0\)</c:formatCode>
                <c:ptCount val="13"/>
                <c:pt idx="0">
                  <c:v>-6210000</c:v>
                </c:pt>
                <c:pt idx="1">
                  <c:v>-5186250</c:v>
                </c:pt>
                <c:pt idx="2">
                  <c:v>-4162500</c:v>
                </c:pt>
                <c:pt idx="3">
                  <c:v>-3138750</c:v>
                </c:pt>
                <c:pt idx="4">
                  <c:v>-2115000</c:v>
                </c:pt>
                <c:pt idx="5">
                  <c:v>-1091250</c:v>
                </c:pt>
                <c:pt idx="6">
                  <c:v>-67500</c:v>
                </c:pt>
                <c:pt idx="7">
                  <c:v>956250</c:v>
                </c:pt>
                <c:pt idx="8">
                  <c:v>1980000</c:v>
                </c:pt>
                <c:pt idx="9">
                  <c:v>3003750</c:v>
                </c:pt>
                <c:pt idx="10">
                  <c:v>4027500</c:v>
                </c:pt>
                <c:pt idx="11">
                  <c:v>5051250</c:v>
                </c:pt>
                <c:pt idx="12">
                  <c:v>6075000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6-3D42-8BA7-7D453FFD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1598720"/>
        <c:axId val="1431936320"/>
      </c:lineChart>
      <c:catAx>
        <c:axId val="143159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AE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31936320"/>
        <c:crosses val="autoZero"/>
        <c:auto val="1"/>
        <c:lblAlgn val="ctr"/>
        <c:lblOffset val="100"/>
        <c:noMultiLvlLbl val="0"/>
      </c:catAx>
      <c:valAx>
        <c:axId val="1431936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  <a:r>
                  <a:rPr lang="en-US" baseline="0"/>
                  <a:t>-Volume-Profit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5470085470085479E-3"/>
              <c:y val="0.28902581256290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AE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31598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'Ratio Analysis'!$B$26</c:f>
              <c:strCache>
                <c:ptCount val="1"/>
                <c:pt idx="0">
                  <c:v>Gross margin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'Ratio Analysis'!$C$25:$G$25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'Ratio Analysis'!$C$26:$G$26</c:f>
              <c:numCache>
                <c:formatCode>0%</c:formatCode>
                <c:ptCount val="5"/>
                <c:pt idx="0">
                  <c:v>0.90000000000000013</c:v>
                </c:pt>
                <c:pt idx="1">
                  <c:v>0.9</c:v>
                </c:pt>
                <c:pt idx="2">
                  <c:v>0.89999999999999991</c:v>
                </c:pt>
                <c:pt idx="3">
                  <c:v>0.90000000000000024</c:v>
                </c:pt>
                <c:pt idx="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3-A84B-B07F-220757B22911}"/>
            </c:ext>
          </c:extLst>
        </c:ser>
        <c:ser>
          <c:idx val="1"/>
          <c:order val="1"/>
          <c:tx>
            <c:strRef>
              <c:f>'Ratio Analysis'!$B$27</c:f>
              <c:strCache>
                <c:ptCount val="1"/>
                <c:pt idx="0">
                  <c:v>Operating margin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'Ratio Analysis'!$C$25:$G$25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'Ratio Analysis'!$C$27:$G$27</c:f>
              <c:numCache>
                <c:formatCode>0%</c:formatCode>
                <c:ptCount val="5"/>
                <c:pt idx="0">
                  <c:v>-0.18073193032038048</c:v>
                </c:pt>
                <c:pt idx="1">
                  <c:v>0.22254046157066021</c:v>
                </c:pt>
                <c:pt idx="2">
                  <c:v>0.43883762323390613</c:v>
                </c:pt>
                <c:pt idx="3">
                  <c:v>0.56431851019224522</c:v>
                </c:pt>
                <c:pt idx="4">
                  <c:v>0.64346937424766493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3-A84B-B07F-220757B22911}"/>
            </c:ext>
          </c:extLst>
        </c:ser>
        <c:ser>
          <c:idx val="2"/>
          <c:order val="2"/>
          <c:tx>
            <c:strRef>
              <c:f>'Ratio Analysis'!$B$28</c:f>
              <c:strCache>
                <c:ptCount val="1"/>
                <c:pt idx="0">
                  <c:v>Net profit margin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'Ratio Analysis'!$C$25:$G$25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'Ratio Analysis'!$C$28:$G$28</c:f>
              <c:numCache>
                <c:formatCode>0%</c:formatCode>
                <c:ptCount val="5"/>
                <c:pt idx="0">
                  <c:v>-0.18073193032038048</c:v>
                </c:pt>
                <c:pt idx="1">
                  <c:v>0.1717431140144669</c:v>
                </c:pt>
                <c:pt idx="2">
                  <c:v>0.34360985899214858</c:v>
                </c:pt>
                <c:pt idx="3">
                  <c:v>0.441861393480528</c:v>
                </c:pt>
                <c:pt idx="4">
                  <c:v>0.50383652003592172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D3-A84B-B07F-220757B22911}"/>
            </c:ext>
          </c:extLst>
        </c:ser>
        <c:ser>
          <c:idx val="3"/>
          <c:order val="3"/>
          <c:tx>
            <c:strRef>
              <c:f>'Ratio Analysis'!$B$29</c:f>
              <c:strCache>
                <c:ptCount val="1"/>
                <c:pt idx="0">
                  <c:v>Return on Assets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'Ratio Analysis'!$C$25:$G$25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'Ratio Analysis'!$C$29:$G$29</c:f>
              <c:numCache>
                <c:formatCode>0%</c:formatCode>
                <c:ptCount val="5"/>
                <c:pt idx="0">
                  <c:v>-5.1649700818956347E-2</c:v>
                </c:pt>
                <c:pt idx="1">
                  <c:v>0.10350785475341563</c:v>
                </c:pt>
                <c:pt idx="2">
                  <c:v>0.32578009808956793</c:v>
                </c:pt>
                <c:pt idx="3">
                  <c:v>0.49296279928167408</c:v>
                </c:pt>
                <c:pt idx="4">
                  <c:v>0.56633582042668007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E-B043-B688-789043C2C459}"/>
            </c:ext>
          </c:extLst>
        </c:ser>
        <c:ser>
          <c:idx val="4"/>
          <c:order val="4"/>
          <c:tx>
            <c:strRef>
              <c:f>'Ratio Analysis'!$B$30</c:f>
              <c:strCache>
                <c:ptCount val="1"/>
                <c:pt idx="0">
                  <c:v>Return on Equity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'Ratio Analysis'!$C$25:$G$25</c:f>
              <c:numCache>
                <c:formatCode>[$-1009]\ yyyy;@</c:formatCode>
                <c:ptCount val="5"/>
                <c:pt idx="0">
                  <c:v>45261</c:v>
                </c:pt>
                <c:pt idx="1">
                  <c:v>45627</c:v>
                </c:pt>
                <c:pt idx="2">
                  <c:v>45992</c:v>
                </c:pt>
                <c:pt idx="3">
                  <c:v>46357</c:v>
                </c:pt>
                <c:pt idx="4">
                  <c:v>46722</c:v>
                </c:pt>
              </c:numCache>
            </c:numRef>
          </c:cat>
          <c:val>
            <c:numRef>
              <c:f>'Ratio Analysis'!$C$30:$G$30</c:f>
              <c:numCache>
                <c:formatCode>0%</c:formatCode>
                <c:ptCount val="5"/>
                <c:pt idx="0">
                  <c:v>-5.2572123958761152E-2</c:v>
                </c:pt>
                <c:pt idx="1">
                  <c:v>0.1063350118631831</c:v>
                </c:pt>
                <c:pt idx="2">
                  <c:v>0.33630467088539873</c:v>
                </c:pt>
                <c:pt idx="3">
                  <c:v>0.50739934183224089</c:v>
                </c:pt>
                <c:pt idx="4">
                  <c:v>0.5794818295683698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E-B043-B688-789043C2C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319776"/>
        <c:axId val="149272960"/>
      </c:barChart>
      <c:dateAx>
        <c:axId val="173319776"/>
        <c:scaling>
          <c:orientation val="minMax"/>
        </c:scaling>
        <c:delete val="0"/>
        <c:axPos val="b"/>
        <c:numFmt formatCode="[$-1009]\ 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49272960"/>
        <c:crosses val="autoZero"/>
        <c:auto val="1"/>
        <c:lblOffset val="100"/>
        <c:baseTimeUnit val="years"/>
      </c:dateAx>
      <c:valAx>
        <c:axId val="1492729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AE"/>
          </a:p>
        </c:txPr>
        <c:crossAx val="17331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A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306295</xdr:colOff>
      <xdr:row>3</xdr:row>
      <xdr:rowOff>22412</xdr:rowOff>
    </xdr:from>
    <xdr:to>
      <xdr:col>2</xdr:col>
      <xdr:colOff>763495</xdr:colOff>
      <xdr:row>5</xdr:row>
      <xdr:rowOff>150906</xdr:rowOff>
    </xdr:to>
    <xdr:pic>
      <xdr:nvPicPr>
        <xdr:cNvPr id="2" name="Graphic 5">
          <a:extLst>
            <a:ext uri="{FF2B5EF4-FFF2-40B4-BE49-F238E27FC236}">
              <a16:creationId xmlns:a16="http://schemas.microsoft.com/office/drawing/2014/main" id="{C58F7AD8-F759-0118-653E-FC3974E79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6824" y="508000"/>
          <a:ext cx="457200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198967</xdr:colOff>
      <xdr:row>0</xdr:row>
      <xdr:rowOff>112184</xdr:rowOff>
    </xdr:from>
    <xdr:to>
      <xdr:col>17</xdr:col>
      <xdr:colOff>546100</xdr:colOff>
      <xdr:row>15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5B6236-4401-3548-91B6-B80657B035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177800</xdr:colOff>
      <xdr:row>16</xdr:row>
      <xdr:rowOff>10583</xdr:rowOff>
    </xdr:from>
    <xdr:to>
      <xdr:col>17</xdr:col>
      <xdr:colOff>431800</xdr:colOff>
      <xdr:row>30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E57063-87FE-6D43-B567-05A988937E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158750</xdr:rowOff>
    </xdr:from>
    <xdr:to>
      <xdr:col>18</xdr:col>
      <xdr:colOff>647700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961EEC-1920-C64E-B7EA-9E3725F2FB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177800</xdr:colOff>
      <xdr:row>0</xdr:row>
      <xdr:rowOff>169634</xdr:rowOff>
    </xdr:from>
    <xdr:to>
      <xdr:col>17</xdr:col>
      <xdr:colOff>76200</xdr:colOff>
      <xdr:row>15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8D3CE6-3FEC-164E-A279-ACFE950AD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95250</xdr:rowOff>
    </xdr:from>
    <xdr:to>
      <xdr:col>7</xdr:col>
      <xdr:colOff>0</xdr:colOff>
      <xdr:row>25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FB474A-D4E9-184E-994B-B8F223211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15</xdr:row>
      <xdr:rowOff>107950</xdr:rowOff>
    </xdr:from>
    <xdr:to>
      <xdr:col>14</xdr:col>
      <xdr:colOff>711200</xdr:colOff>
      <xdr:row>31</xdr:row>
      <xdr:rowOff>6350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252F23-2273-7041-ADDD-93E5FC43D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2</xdr:row>
      <xdr:rowOff>107950</xdr:rowOff>
    </xdr:from>
    <xdr:to>
      <xdr:col>14</xdr:col>
      <xdr:colOff>723900</xdr:colOff>
      <xdr:row>18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40D089-9DF0-9D4F-B151-1996B3DE91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2</xdr:row>
      <xdr:rowOff>76200</xdr:rowOff>
    </xdr:from>
    <xdr:to>
      <xdr:col>13</xdr:col>
      <xdr:colOff>723900</xdr:colOff>
      <xdr:row>17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23FAC5-2C80-0342-8BD7-FAE552175C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20</xdr:row>
      <xdr:rowOff>31750</xdr:rowOff>
    </xdr:from>
    <xdr:to>
      <xdr:col>6</xdr:col>
      <xdr:colOff>787400</xdr:colOff>
      <xdr:row>34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6322FF-BED6-524D-AF92-AE347EC4F5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</xdr:row>
      <xdr:rowOff>152400</xdr:rowOff>
    </xdr:from>
    <xdr:to>
      <xdr:col>9</xdr:col>
      <xdr:colOff>88900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37AB4F-E499-914D-87C4-517E0D221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ikelconsulting.com/" TargetMode="External"/><Relationship Id="rId1" Type="http://schemas.openxmlformats.org/officeDocument/2006/relationships/hyperlink" Target="mailto:info@mikelconsulting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3D6C-E142-A14E-93B8-C6CC364752C0}">
  <sheetPr>
    <tabColor theme="7"/>
  </sheetPr>
  <dimension ref="A2:D11"/>
  <sheetViews>
    <sheetView showGridLines="0" tabSelected="1" zoomScaleNormal="100" workbookViewId="0"/>
  </sheetViews>
  <sheetFormatPr baseColWidth="10" defaultColWidth="11.5" defaultRowHeight="13"/>
  <cols>
    <col min="1" max="1" width="32" customWidth="1"/>
  </cols>
  <sheetData>
    <row r="2" spans="1:4" s="6" customFormat="1" ht="14">
      <c r="A2" s="6" t="s">
        <v>145</v>
      </c>
      <c r="C2" s="7"/>
      <c r="D2" s="7"/>
    </row>
    <row r="3" spans="1:4" s="6" customFormat="1" ht="14">
      <c r="A3" s="34" t="s">
        <v>146</v>
      </c>
      <c r="B3" s="35">
        <v>0</v>
      </c>
      <c r="C3" s="7"/>
      <c r="D3" s="7"/>
    </row>
    <row r="4" spans="1:4" s="6" customFormat="1" ht="14">
      <c r="A4" s="34"/>
      <c r="B4" s="36"/>
      <c r="C4" s="7"/>
      <c r="D4" s="7"/>
    </row>
    <row r="5" spans="1:4" s="6" customFormat="1" ht="14">
      <c r="A5" s="6" t="s">
        <v>127</v>
      </c>
      <c r="C5" s="7"/>
      <c r="D5" s="7"/>
    </row>
    <row r="6" spans="1:4" s="6" customFormat="1" ht="14">
      <c r="A6" s="37" t="s">
        <v>287</v>
      </c>
      <c r="B6" s="38"/>
    </row>
    <row r="7" spans="1:4" s="6" customFormat="1" ht="14">
      <c r="A7" s="39"/>
      <c r="B7" s="40"/>
    </row>
    <row r="8" spans="1:4" s="6" customFormat="1" ht="14">
      <c r="A8" s="6" t="s">
        <v>126</v>
      </c>
    </row>
    <row r="9" spans="1:4" s="6" customFormat="1" ht="14">
      <c r="A9" s="41" t="s">
        <v>124</v>
      </c>
    </row>
    <row r="10" spans="1:4" s="6" customFormat="1" ht="14">
      <c r="A10" s="41" t="s">
        <v>125</v>
      </c>
    </row>
    <row r="11" spans="1:4" s="6" customFormat="1" ht="14"/>
  </sheetData>
  <hyperlinks>
    <hyperlink ref="A9" r:id="rId1" xr:uid="{F0F5A2DC-2AE7-B94C-8FE8-23B292AE2333}"/>
    <hyperlink ref="A10" r:id="rId2" xr:uid="{CDBC6696-063A-9045-B576-41B69C4B695F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BJ68"/>
  <sheetViews>
    <sheetView showGridLines="0" zoomScaleNormal="100" workbookViewId="0"/>
  </sheetViews>
  <sheetFormatPr baseColWidth="10" defaultColWidth="9.1640625" defaultRowHeight="15"/>
  <cols>
    <col min="1" max="1" width="3.33203125" style="9" customWidth="1"/>
    <col min="2" max="2" width="31.83203125" style="9" bestFit="1" customWidth="1"/>
    <col min="3" max="5" width="10.1640625" style="9" bestFit="1" customWidth="1"/>
    <col min="6" max="7" width="11" style="9" bestFit="1" customWidth="1"/>
    <col min="8" max="8" width="10.6640625" style="9" bestFit="1" customWidth="1"/>
    <col min="9" max="9" width="10.33203125" style="9" bestFit="1" customWidth="1"/>
    <col min="10" max="14" width="10.6640625" style="9" bestFit="1" customWidth="1"/>
    <col min="15" max="62" width="10.1640625" style="9" customWidth="1"/>
    <col min="63" max="16384" width="9.1640625" style="9"/>
  </cols>
  <sheetData>
    <row r="1" spans="1:20" s="152" customFormat="1" ht="14" customHeight="1">
      <c r="A1" s="262" t="s">
        <v>28</v>
      </c>
      <c r="B1" s="151"/>
      <c r="C1" s="151"/>
      <c r="D1" s="151"/>
      <c r="E1" s="151"/>
      <c r="F1" s="151"/>
      <c r="G1" s="151"/>
    </row>
    <row r="2" spans="1:20" ht="14" customHeight="1">
      <c r="A2" s="76" t="str">
        <f>"(expressed in "&amp;'2) Assumptions'!D6&amp;")"</f>
        <v>(expressed in Euro (€))</v>
      </c>
      <c r="B2" s="94"/>
      <c r="C2" s="94"/>
      <c r="D2" s="94"/>
      <c r="E2" s="94"/>
      <c r="F2" s="94"/>
      <c r="G2" s="94"/>
      <c r="I2" s="62"/>
      <c r="J2" s="433"/>
      <c r="K2" s="433"/>
      <c r="L2" s="433"/>
      <c r="M2" s="433"/>
      <c r="N2" s="433"/>
    </row>
    <row r="3" spans="1:20" ht="14" customHeight="1">
      <c r="A3" s="77" t="str">
        <f>"For the years ended"&amp;" "&amp;TEXT(EOMONTH('2) Assumptions'!D5,11),"mmmm dd")&amp;","</f>
        <v>For the years ended December 31,</v>
      </c>
      <c r="B3" s="94"/>
      <c r="C3" s="94"/>
      <c r="D3" s="94"/>
      <c r="E3" s="94"/>
      <c r="F3" s="94"/>
      <c r="G3" s="94"/>
      <c r="I3" s="434"/>
      <c r="J3" s="435"/>
      <c r="K3" s="435"/>
      <c r="L3" s="435"/>
      <c r="M3" s="435"/>
      <c r="N3" s="435"/>
    </row>
    <row r="4" spans="1:20" ht="14" customHeight="1">
      <c r="A4" s="78"/>
      <c r="B4" s="78"/>
      <c r="C4" s="79">
        <f>EDATE('2) Assumptions'!$D$5,11)</f>
        <v>45261</v>
      </c>
      <c r="D4" s="79">
        <f>EDATE('2) Assumptions'!$D$5,23)</f>
        <v>45627</v>
      </c>
      <c r="E4" s="79">
        <f>EDATE('2) Assumptions'!$D$5,35)</f>
        <v>45992</v>
      </c>
      <c r="F4" s="79">
        <f>EDATE('2) Assumptions'!$D$5,47)</f>
        <v>46357</v>
      </c>
      <c r="G4" s="79">
        <f>EDATE('2) Assumptions'!$D$5,59)</f>
        <v>46722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4" customHeight="1">
      <c r="A5" s="80" t="s">
        <v>29</v>
      </c>
      <c r="B5" s="70"/>
      <c r="C5" s="81">
        <f>SUM(('Income Statement'!C38:N38))</f>
        <v>8290677.5941595696</v>
      </c>
      <c r="D5" s="81">
        <f>SUM('Income Statement'!O38:Z38)</f>
        <v>19746566.755876143</v>
      </c>
      <c r="E5" s="81">
        <f>SUM('Income Statement'!AA38:AL38)</f>
        <v>47031969.849962562</v>
      </c>
      <c r="F5" s="81">
        <f>SUM('Income Statement'!AM38:AX38)</f>
        <v>112019786.29067466</v>
      </c>
      <c r="G5" s="81">
        <f>SUM('Income Statement'!AY38:BJ38)</f>
        <v>266806441.67444789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4" customHeight="1">
      <c r="A6" s="82" t="s">
        <v>263</v>
      </c>
      <c r="B6" s="82"/>
      <c r="C6" s="83">
        <f>SUM(('Income Statement'!C39:N39))</f>
        <v>829067.75941595691</v>
      </c>
      <c r="D6" s="83">
        <f>SUM('Income Statement'!O39:Z39)</f>
        <v>1974656.6755876148</v>
      </c>
      <c r="E6" s="83">
        <f>SUM('Income Statement'!AA39:AL39)</f>
        <v>4703196.9849962555</v>
      </c>
      <c r="F6" s="83">
        <f>SUM('Income Statement'!AM39:AX39)</f>
        <v>11201978.629067471</v>
      </c>
      <c r="G6" s="83">
        <f>SUM('Income Statement'!AY39:BJ39)</f>
        <v>26680644.167444799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4" customHeight="1">
      <c r="A7" s="71" t="s">
        <v>31</v>
      </c>
      <c r="B7" s="71"/>
      <c r="C7" s="81">
        <f>SUM(('Income Statement'!C40:N40))</f>
        <v>7461609.8347436134</v>
      </c>
      <c r="D7" s="81">
        <f>SUM('Income Statement'!O40:Z40)</f>
        <v>17771910.080288529</v>
      </c>
      <c r="E7" s="81">
        <f>SUM('Income Statement'!AA40:AL40)</f>
        <v>42328772.864966303</v>
      </c>
      <c r="F7" s="81">
        <f>SUM('Income Statement'!AM40:AX40)</f>
        <v>100817807.66160722</v>
      </c>
      <c r="G7" s="81">
        <f>SUM('Income Statement'!AY40:BJ40)</f>
        <v>240125797.5070031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1:20" ht="14" customHeight="1">
      <c r="A8" s="84" t="s">
        <v>30</v>
      </c>
      <c r="B8" s="70"/>
      <c r="C8" s="85"/>
      <c r="D8" s="85"/>
      <c r="E8" s="85"/>
      <c r="F8" s="85"/>
      <c r="G8" s="85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4" customHeight="1">
      <c r="A9" s="84"/>
      <c r="B9" s="155" t="str">
        <f>'4) Operating Expenses'!I5</f>
        <v>Salaries &amp; Wages</v>
      </c>
      <c r="C9" s="81">
        <f>SUM(('Income Statement'!C42:N42))</f>
        <v>3000000</v>
      </c>
      <c r="D9" s="81">
        <f>SUM('Income Statement'!O42:Z42)</f>
        <v>6000000</v>
      </c>
      <c r="E9" s="81">
        <f>SUM('Income Statement'!AA42:AL42)</f>
        <v>12000000</v>
      </c>
      <c r="F9" s="81">
        <f>SUM('Income Statement'!AM42:AX42)</f>
        <v>24000000</v>
      </c>
      <c r="G9" s="81">
        <f>SUM('Income Statement'!AY42:BJ42)</f>
        <v>48000000</v>
      </c>
    </row>
    <row r="10" spans="1:20" ht="14" customHeight="1">
      <c r="A10" s="84"/>
      <c r="B10" s="155" t="str">
        <f>'4) Operating Expenses'!I6</f>
        <v>Purchases</v>
      </c>
      <c r="C10" s="81">
        <f>SUM(('Income Statement'!C43:N43))</f>
        <v>600000</v>
      </c>
      <c r="D10" s="81">
        <f>SUM('Income Statement'!O43:Z43)</f>
        <v>1050000</v>
      </c>
      <c r="E10" s="81">
        <f>SUM('Income Statement'!AA43:AL43)</f>
        <v>1837500</v>
      </c>
      <c r="F10" s="81">
        <f>SUM('Income Statement'!AM43:AX43)</f>
        <v>3215625</v>
      </c>
      <c r="G10" s="81">
        <f>SUM('Income Statement'!AY43:BJ43)</f>
        <v>5627343.75</v>
      </c>
    </row>
    <row r="11" spans="1:20" ht="14" customHeight="1">
      <c r="A11" s="84"/>
      <c r="B11" s="155" t="str">
        <f>'4) Operating Expenses'!I7</f>
        <v>Sales &amp; Marketing</v>
      </c>
      <c r="C11" s="81">
        <f>SUM(('Income Statement'!C44:N44))</f>
        <v>420000</v>
      </c>
      <c r="D11" s="81">
        <f>SUM('Income Statement'!O44:Z44)</f>
        <v>840000</v>
      </c>
      <c r="E11" s="81">
        <f>SUM('Income Statement'!AA44:AL44)</f>
        <v>1680000</v>
      </c>
      <c r="F11" s="81">
        <f>SUM('Income Statement'!AM44:AX44)</f>
        <v>3360000</v>
      </c>
      <c r="G11" s="81">
        <f>SUM('Income Statement'!AY44:BJ44)</f>
        <v>6720000</v>
      </c>
    </row>
    <row r="12" spans="1:20" ht="14" customHeight="1">
      <c r="A12" s="84"/>
      <c r="B12" s="155" t="str">
        <f>'4) Operating Expenses'!I8</f>
        <v>Rent</v>
      </c>
      <c r="C12" s="81">
        <f>SUM(('Income Statement'!C45:N45))</f>
        <v>90000</v>
      </c>
      <c r="D12" s="81">
        <f>SUM('Income Statement'!O45:Z45)</f>
        <v>112500</v>
      </c>
      <c r="E12" s="81">
        <f>SUM('Income Statement'!AA45:AL45)</f>
        <v>140625</v>
      </c>
      <c r="F12" s="81">
        <f>SUM('Income Statement'!AM45:AX45)</f>
        <v>175781.25</v>
      </c>
      <c r="G12" s="81">
        <f>SUM('Income Statement'!AY45:BJ45)</f>
        <v>219726.5625</v>
      </c>
    </row>
    <row r="13" spans="1:20" ht="14" customHeight="1">
      <c r="A13" s="84"/>
      <c r="B13" s="155" t="str">
        <f>'4) Operating Expenses'!I9</f>
        <v>Other SG&amp;A</v>
      </c>
      <c r="C13" s="81">
        <f>SUM(('Income Statement'!C46:N46))</f>
        <v>2100000</v>
      </c>
      <c r="D13" s="81">
        <f>SUM('Income Statement'!O46:Z46)</f>
        <v>2625000</v>
      </c>
      <c r="E13" s="81">
        <f>SUM('Income Statement'!AA46:AL46)</f>
        <v>3281250</v>
      </c>
      <c r="F13" s="81">
        <f>SUM('Income Statement'!AM46:AX46)</f>
        <v>4101562.5</v>
      </c>
      <c r="G13" s="81">
        <f>SUM('Income Statement'!AY46:BJ46)</f>
        <v>5126953.125</v>
      </c>
    </row>
    <row r="14" spans="1:20" ht="14" hidden="1" customHeight="1">
      <c r="A14" s="84"/>
      <c r="B14" s="155">
        <f>'4) Operating Expenses'!I10</f>
        <v>0</v>
      </c>
      <c r="C14" s="81">
        <f>SUM(('Income Statement'!C47:N47))</f>
        <v>0</v>
      </c>
      <c r="D14" s="81">
        <f>SUM('Income Statement'!O47:Z47)</f>
        <v>0</v>
      </c>
      <c r="E14" s="81">
        <f>SUM('Income Statement'!AA47:AL47)</f>
        <v>0</v>
      </c>
      <c r="F14" s="81">
        <f>SUM('Income Statement'!AM47:AX47)</f>
        <v>0</v>
      </c>
      <c r="G14" s="81">
        <f>SUM('Income Statement'!AY47:BJ47)</f>
        <v>0</v>
      </c>
      <c r="H14" s="25"/>
      <c r="I14" s="25"/>
      <c r="J14" s="25"/>
      <c r="K14" s="25"/>
      <c r="L14" s="25"/>
      <c r="M14" s="25"/>
    </row>
    <row r="15" spans="1:20" ht="14" hidden="1" customHeight="1">
      <c r="A15" s="84"/>
      <c r="B15" s="155">
        <f>'4) Operating Expenses'!I11</f>
        <v>0</v>
      </c>
      <c r="C15" s="81">
        <f>SUM(('Income Statement'!C48:N48))</f>
        <v>0</v>
      </c>
      <c r="D15" s="81">
        <f>SUM('Income Statement'!O48:Z48)</f>
        <v>0</v>
      </c>
      <c r="E15" s="81">
        <f>SUM('Income Statement'!AA48:AL48)</f>
        <v>0</v>
      </c>
      <c r="F15" s="81">
        <f>SUM('Income Statement'!AM48:AX48)</f>
        <v>0</v>
      </c>
      <c r="G15" s="81">
        <f>SUM('Income Statement'!AY48:BJ48)</f>
        <v>0</v>
      </c>
    </row>
    <row r="16" spans="1:20" ht="14" hidden="1" customHeight="1">
      <c r="A16" s="84"/>
      <c r="B16" s="155">
        <f>'4) Operating Expenses'!I12</f>
        <v>0</v>
      </c>
      <c r="C16" s="81">
        <f>SUM(('Income Statement'!C49:N49))</f>
        <v>0</v>
      </c>
      <c r="D16" s="81">
        <f>SUM('Income Statement'!O49:Z49)</f>
        <v>0</v>
      </c>
      <c r="E16" s="81">
        <f>SUM('Income Statement'!AA49:AL49)</f>
        <v>0</v>
      </c>
      <c r="F16" s="81">
        <f>SUM('Income Statement'!AM49:AX49)</f>
        <v>0</v>
      </c>
      <c r="G16" s="81">
        <f>SUM('Income Statement'!AY49:BJ49)</f>
        <v>0</v>
      </c>
    </row>
    <row r="17" spans="1:13" ht="14" hidden="1" customHeight="1">
      <c r="A17" s="84"/>
      <c r="B17" s="155">
        <f>'4) Operating Expenses'!I13</f>
        <v>0</v>
      </c>
      <c r="C17" s="81">
        <f>SUM(('Income Statement'!C50:N50))</f>
        <v>0</v>
      </c>
      <c r="D17" s="81">
        <f>SUM('Income Statement'!O50:Z50)</f>
        <v>0</v>
      </c>
      <c r="E17" s="81">
        <f>SUM('Income Statement'!AA50:AL50)</f>
        <v>0</v>
      </c>
      <c r="F17" s="81">
        <f>SUM('Income Statement'!AM50:AX50)</f>
        <v>0</v>
      </c>
      <c r="G17" s="81">
        <f>SUM('Income Statement'!AY50:BJ50)</f>
        <v>0</v>
      </c>
    </row>
    <row r="18" spans="1:13" ht="14" hidden="1" customHeight="1">
      <c r="A18" s="84"/>
      <c r="B18" s="155">
        <f>'4) Operating Expenses'!I14</f>
        <v>0</v>
      </c>
      <c r="C18" s="81">
        <f>SUM(('Income Statement'!C51:N51))</f>
        <v>0</v>
      </c>
      <c r="D18" s="81">
        <f>SUM('Income Statement'!O51:Z51)</f>
        <v>0</v>
      </c>
      <c r="E18" s="81">
        <f>SUM('Income Statement'!AA51:AL51)</f>
        <v>0</v>
      </c>
      <c r="F18" s="81">
        <f>SUM('Income Statement'!AM51:AX51)</f>
        <v>0</v>
      </c>
      <c r="G18" s="81">
        <f>SUM('Income Statement'!AY51:BJ51)</f>
        <v>0</v>
      </c>
    </row>
    <row r="19" spans="1:13" ht="14" hidden="1" customHeight="1">
      <c r="A19" s="84"/>
      <c r="B19" s="155">
        <f>'4) Operating Expenses'!I15</f>
        <v>0</v>
      </c>
      <c r="C19" s="81">
        <f>SUM(('Income Statement'!C52:N52))</f>
        <v>0</v>
      </c>
      <c r="D19" s="81">
        <f>SUM('Income Statement'!O52:Z52)</f>
        <v>0</v>
      </c>
      <c r="E19" s="81">
        <f>SUM('Income Statement'!AA52:AL52)</f>
        <v>0</v>
      </c>
      <c r="F19" s="81">
        <f>SUM('Income Statement'!AM52:AX52)</f>
        <v>0</v>
      </c>
      <c r="G19" s="81">
        <f>SUM('Income Statement'!AY52:BJ52)</f>
        <v>0</v>
      </c>
    </row>
    <row r="20" spans="1:13" ht="14" hidden="1" customHeight="1">
      <c r="A20" s="84"/>
      <c r="B20" s="155">
        <f>'4) Operating Expenses'!I16</f>
        <v>0</v>
      </c>
      <c r="C20" s="81">
        <f>SUM(('Income Statement'!C53:N53))</f>
        <v>0</v>
      </c>
      <c r="D20" s="81">
        <f>SUM('Income Statement'!O53:Z53)</f>
        <v>0</v>
      </c>
      <c r="E20" s="81">
        <f>SUM('Income Statement'!AA53:AL53)</f>
        <v>0</v>
      </c>
      <c r="F20" s="81">
        <f>SUM('Income Statement'!AM53:AX53)</f>
        <v>0</v>
      </c>
      <c r="G20" s="81">
        <f>SUM('Income Statement'!AY53:BJ53)</f>
        <v>0</v>
      </c>
    </row>
    <row r="21" spans="1:13" ht="14" hidden="1" customHeight="1">
      <c r="A21" s="84"/>
      <c r="B21" s="155">
        <f>'4) Operating Expenses'!I17</f>
        <v>0</v>
      </c>
      <c r="C21" s="81">
        <f>SUM(('Income Statement'!C54:N54))</f>
        <v>0</v>
      </c>
      <c r="D21" s="81">
        <f>SUM('Income Statement'!O54:Z54)</f>
        <v>0</v>
      </c>
      <c r="E21" s="81">
        <f>SUM('Income Statement'!AA54:AL54)</f>
        <v>0</v>
      </c>
      <c r="F21" s="81">
        <f>SUM('Income Statement'!AM54:AX54)</f>
        <v>0</v>
      </c>
      <c r="G21" s="81">
        <f>SUM('Income Statement'!AY54:BJ54)</f>
        <v>0</v>
      </c>
    </row>
    <row r="22" spans="1:13" ht="14" hidden="1" customHeight="1">
      <c r="A22" s="84"/>
      <c r="B22" s="155">
        <f>'4) Operating Expenses'!I18</f>
        <v>0</v>
      </c>
      <c r="C22" s="81">
        <f>SUM(('Income Statement'!C55:N55))</f>
        <v>0</v>
      </c>
      <c r="D22" s="81">
        <f>SUM('Income Statement'!O55:Z55)</f>
        <v>0</v>
      </c>
      <c r="E22" s="81">
        <f>SUM('Income Statement'!AA55:AL55)</f>
        <v>0</v>
      </c>
      <c r="F22" s="81">
        <f>SUM('Income Statement'!AM55:AX55)</f>
        <v>0</v>
      </c>
      <c r="G22" s="81">
        <f>SUM('Income Statement'!AY55:BJ55)</f>
        <v>0</v>
      </c>
    </row>
    <row r="23" spans="1:13" ht="14" hidden="1" customHeight="1">
      <c r="A23" s="70"/>
      <c r="B23" s="70" t="s">
        <v>89</v>
      </c>
      <c r="C23" s="81">
        <f>SUM(('Income Statement'!C56:N56))</f>
        <v>0</v>
      </c>
      <c r="D23" s="81">
        <f>SUM('Income Statement'!O56:Z56)</f>
        <v>0</v>
      </c>
      <c r="E23" s="81">
        <f>SUM('Income Statement'!AA56:AL56)</f>
        <v>0</v>
      </c>
      <c r="F23" s="81">
        <f>SUM('Income Statement'!AM56:AX56)</f>
        <v>0</v>
      </c>
      <c r="G23" s="81">
        <f>SUM('Income Statement'!AY56:BJ56)</f>
        <v>0</v>
      </c>
    </row>
    <row r="24" spans="1:13" ht="14" hidden="1" customHeight="1">
      <c r="A24" s="70"/>
      <c r="B24" s="70" t="s">
        <v>96</v>
      </c>
      <c r="C24" s="81">
        <f>SUM(('Income Statement'!C57:N57))</f>
        <v>0</v>
      </c>
      <c r="D24" s="81">
        <f>SUM('Income Statement'!O57:Z57)</f>
        <v>0</v>
      </c>
      <c r="E24" s="81">
        <f>SUM('Income Statement'!AA57:AL57)</f>
        <v>0</v>
      </c>
      <c r="F24" s="81">
        <f>SUM('Income Statement'!AM57:AX57)</f>
        <v>0</v>
      </c>
      <c r="G24" s="81">
        <f>SUM('Income Statement'!AY57:BJ57)</f>
        <v>0</v>
      </c>
    </row>
    <row r="25" spans="1:13" ht="14" customHeight="1">
      <c r="A25" s="156" t="s">
        <v>178</v>
      </c>
      <c r="B25" s="157"/>
      <c r="C25" s="158">
        <f>SUM(C9:C24)</f>
        <v>6210000</v>
      </c>
      <c r="D25" s="158">
        <f>SUM(D9:D24)</f>
        <v>10627500</v>
      </c>
      <c r="E25" s="158">
        <f>SUM(E9:E24)</f>
        <v>18939375</v>
      </c>
      <c r="F25" s="158">
        <f>SUM(F9:F24)</f>
        <v>34852968.75</v>
      </c>
      <c r="G25" s="158">
        <f>SUM(G9:G24)</f>
        <v>65694023.4375</v>
      </c>
    </row>
    <row r="26" spans="1:13" ht="14" customHeight="1">
      <c r="A26" s="86" t="s">
        <v>58</v>
      </c>
      <c r="B26" s="87"/>
      <c r="C26" s="88">
        <f>SUM(('Income Statement'!C59:N59))</f>
        <v>1251609.8347436129</v>
      </c>
      <c r="D26" s="88">
        <f>SUM('Income Statement'!O59:Z59)</f>
        <v>7144410.0802885313</v>
      </c>
      <c r="E26" s="88">
        <f>SUM('Income Statement'!AA59:AL59)</f>
        <v>23389397.864966303</v>
      </c>
      <c r="F26" s="88">
        <f>SUM('Income Statement'!AM59:AX59)</f>
        <v>65964838.911607213</v>
      </c>
      <c r="G26" s="88">
        <f>SUM('Income Statement'!AY59:BJ59)</f>
        <v>174431774.0695031</v>
      </c>
      <c r="H26" s="117"/>
      <c r="I26" s="117"/>
      <c r="J26" s="117"/>
      <c r="K26" s="117"/>
      <c r="L26" s="117"/>
      <c r="M26" s="117"/>
    </row>
    <row r="27" spans="1:13" ht="14" customHeight="1">
      <c r="A27" s="70"/>
      <c r="B27" s="70" t="s">
        <v>97</v>
      </c>
      <c r="C27" s="81">
        <f>SUM(('Income Statement'!C60:N60))</f>
        <v>2750000</v>
      </c>
      <c r="D27" s="81">
        <f>SUM('Income Statement'!O60:Z60)</f>
        <v>2750000</v>
      </c>
      <c r="E27" s="81">
        <f>SUM('Income Statement'!AA60:AL60)</f>
        <v>2750000</v>
      </c>
      <c r="F27" s="81">
        <f>SUM('Income Statement'!AM60:AX60)</f>
        <v>2750000</v>
      </c>
      <c r="G27" s="81">
        <f>SUM('Income Statement'!AY60:BJ60)</f>
        <v>2750000</v>
      </c>
      <c r="H27" s="117"/>
      <c r="I27" s="117"/>
      <c r="J27" s="117"/>
      <c r="K27" s="117"/>
      <c r="L27" s="117"/>
      <c r="M27" s="117"/>
    </row>
    <row r="28" spans="1:13" ht="14" customHeight="1">
      <c r="A28" s="70"/>
      <c r="B28" s="70" t="s">
        <v>98</v>
      </c>
      <c r="C28" s="81">
        <f>SUM(('Income Statement'!C61:N61))</f>
        <v>0</v>
      </c>
      <c r="D28" s="81">
        <f>SUM('Income Statement'!O61:Z61)</f>
        <v>0</v>
      </c>
      <c r="E28" s="81">
        <f>SUM('Income Statement'!AA61:AL61)</f>
        <v>0</v>
      </c>
      <c r="F28" s="81">
        <f>SUM('Income Statement'!AM61:AX61)</f>
        <v>0</v>
      </c>
      <c r="G28" s="81">
        <f>SUM('Income Statement'!AY61:BJ61)</f>
        <v>0</v>
      </c>
      <c r="H28" s="117"/>
      <c r="I28" s="117"/>
      <c r="J28" s="117"/>
      <c r="K28" s="117"/>
      <c r="L28" s="117"/>
      <c r="M28" s="117"/>
    </row>
    <row r="29" spans="1:13" ht="14" customHeight="1">
      <c r="A29" s="86" t="s">
        <v>57</v>
      </c>
      <c r="B29" s="87"/>
      <c r="C29" s="88">
        <f>SUM(('Income Statement'!C62:N62))</f>
        <v>-1498390.1652563871</v>
      </c>
      <c r="D29" s="88">
        <f>SUM('Income Statement'!O62:Z62)</f>
        <v>4394410.0802885322</v>
      </c>
      <c r="E29" s="88">
        <f>SUM('Income Statement'!AA62:AL62)</f>
        <v>20639397.864966303</v>
      </c>
      <c r="F29" s="88">
        <f>SUM('Income Statement'!AM62:AX62)</f>
        <v>63214838.911607213</v>
      </c>
      <c r="G29" s="88">
        <f>SUM('Income Statement'!AY62:BJ62)</f>
        <v>171681774.0695031</v>
      </c>
      <c r="H29" s="117"/>
      <c r="I29" s="117"/>
      <c r="J29" s="117"/>
      <c r="K29" s="117"/>
      <c r="L29" s="117"/>
      <c r="M29" s="117"/>
    </row>
    <row r="30" spans="1:13" ht="14" customHeight="1">
      <c r="A30" s="70"/>
      <c r="B30" s="70" t="s">
        <v>32</v>
      </c>
      <c r="C30" s="81">
        <f>SUM(('Income Statement'!C63:N63))</f>
        <v>0</v>
      </c>
      <c r="D30" s="81">
        <f>SUM('Income Statement'!O63:Z63)</f>
        <v>1003073.214539813</v>
      </c>
      <c r="E30" s="81">
        <f>SUM('Income Statement'!AA63:AL63)</f>
        <v>4478749.3366976874</v>
      </c>
      <c r="F30" s="81">
        <f>SUM('Income Statement'!AM63:AX63)</f>
        <v>13717620.043818766</v>
      </c>
      <c r="G30" s="81">
        <f>SUM('Income Statement'!AY63:BJ63)</f>
        <v>37254944.973082177</v>
      </c>
      <c r="H30" s="117"/>
      <c r="I30" s="117"/>
      <c r="J30" s="117"/>
      <c r="K30" s="117"/>
      <c r="L30" s="117"/>
      <c r="M30" s="117"/>
    </row>
    <row r="31" spans="1:13" ht="14" customHeight="1" thickBot="1">
      <c r="A31" s="89" t="s">
        <v>33</v>
      </c>
      <c r="B31" s="89"/>
      <c r="C31" s="90">
        <f>SUM(('Income Statement'!C64:N64))</f>
        <v>-1498390.1652563871</v>
      </c>
      <c r="D31" s="90">
        <f>SUM('Income Statement'!O64:Z64)</f>
        <v>3391336.8657487184</v>
      </c>
      <c r="E31" s="90">
        <f>SUM('Income Statement'!AA64:AL64)</f>
        <v>16160648.528268619</v>
      </c>
      <c r="F31" s="90">
        <f>SUM('Income Statement'!AM64:AX64)</f>
        <v>49497218.867788449</v>
      </c>
      <c r="G31" s="90">
        <f>SUM('Income Statement'!AY64:BJ64)</f>
        <v>134426829.09642094</v>
      </c>
      <c r="H31" s="117"/>
      <c r="I31" s="117"/>
      <c r="J31" s="117"/>
      <c r="K31" s="117"/>
      <c r="L31" s="117"/>
      <c r="M31" s="117"/>
    </row>
    <row r="32" spans="1:13">
      <c r="B32" s="25"/>
      <c r="C32" s="26"/>
      <c r="D32" s="26"/>
      <c r="E32" s="26"/>
      <c r="F32" s="25"/>
      <c r="G32" s="25"/>
    </row>
    <row r="33" spans="1:62" s="223" customFormat="1" ht="14" customHeight="1">
      <c r="A33" s="262" t="s">
        <v>28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</row>
    <row r="34" spans="1:62" s="224" customFormat="1" ht="14" customHeight="1">
      <c r="A34" s="76" t="str">
        <f>"(expressed in "&amp;'2) Assumptions'!D6&amp;")"</f>
        <v>(expressed in Euro (€))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62" s="224" customFormat="1" ht="14" customHeight="1">
      <c r="A35" s="77" t="str">
        <f>"For the year ended"&amp;" "&amp;TEXT(EOMONTH('2) Assumptions'!D5,11),"mmmm dd")&amp;","</f>
        <v>For the year ended December 31,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62" s="226" customFormat="1" ht="14" customHeight="1">
      <c r="A36" s="225"/>
      <c r="B36" s="225"/>
      <c r="C36" s="545">
        <f>EDATE('2) Assumptions'!$D$5,11)</f>
        <v>45261</v>
      </c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>
        <f>EDATE('2) Assumptions'!$D$5,23)</f>
        <v>45627</v>
      </c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5"/>
      <c r="AA36" s="545">
        <f>EDATE('2) Assumptions'!$D$5,35)</f>
        <v>45992</v>
      </c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>
        <f>EDATE('2) Assumptions'!$D$5,47)</f>
        <v>46357</v>
      </c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  <c r="AY36" s="545">
        <f>EDATE('2) Assumptions'!$D$5,59)</f>
        <v>46722</v>
      </c>
      <c r="AZ36" s="545"/>
      <c r="BA36" s="545"/>
      <c r="BB36" s="545"/>
      <c r="BC36" s="545"/>
      <c r="BD36" s="545"/>
      <c r="BE36" s="545"/>
      <c r="BF36" s="545"/>
      <c r="BG36" s="545"/>
      <c r="BH36" s="545"/>
      <c r="BI36" s="545"/>
      <c r="BJ36" s="545"/>
    </row>
    <row r="37" spans="1:62" s="226" customFormat="1" ht="14" customHeight="1">
      <c r="A37" s="196"/>
      <c r="B37" s="196"/>
      <c r="C37" s="227">
        <f>EDATE('2) Assumptions'!$D$5,0)</f>
        <v>44927</v>
      </c>
      <c r="D37" s="227">
        <f>EDATE('2) Assumptions'!$D$5,1)</f>
        <v>44958</v>
      </c>
      <c r="E37" s="227">
        <f>EDATE('2) Assumptions'!$D$5,2)</f>
        <v>44986</v>
      </c>
      <c r="F37" s="227">
        <f>EDATE('2) Assumptions'!$D$5,3)</f>
        <v>45017</v>
      </c>
      <c r="G37" s="227">
        <f>EDATE('2) Assumptions'!$D$5,4)</f>
        <v>45047</v>
      </c>
      <c r="H37" s="227">
        <f>EDATE('2) Assumptions'!$D$5,5)</f>
        <v>45078</v>
      </c>
      <c r="I37" s="227">
        <f>EDATE('2) Assumptions'!$D$5,6)</f>
        <v>45108</v>
      </c>
      <c r="J37" s="227">
        <f>EDATE('2) Assumptions'!$D$5,7)</f>
        <v>45139</v>
      </c>
      <c r="K37" s="227">
        <f>EDATE('2) Assumptions'!$D$5,8)</f>
        <v>45170</v>
      </c>
      <c r="L37" s="227">
        <f>EDATE('2) Assumptions'!$D$5,9)</f>
        <v>45200</v>
      </c>
      <c r="M37" s="227">
        <f>EDATE('2) Assumptions'!$D$5,10)</f>
        <v>45231</v>
      </c>
      <c r="N37" s="227">
        <f>EDATE('2) Assumptions'!$D$5,11)</f>
        <v>45261</v>
      </c>
      <c r="O37" s="227">
        <f>EDATE('2) Assumptions'!$D$5,0)</f>
        <v>44927</v>
      </c>
      <c r="P37" s="227">
        <f>EDATE('2) Assumptions'!$D$5,1)</f>
        <v>44958</v>
      </c>
      <c r="Q37" s="227">
        <f>EDATE('2) Assumptions'!$D$5,2)</f>
        <v>44986</v>
      </c>
      <c r="R37" s="227">
        <f>EDATE('2) Assumptions'!$D$5,3)</f>
        <v>45017</v>
      </c>
      <c r="S37" s="227">
        <f>EDATE('2) Assumptions'!$D$5,4)</f>
        <v>45047</v>
      </c>
      <c r="T37" s="227">
        <f>EDATE('2) Assumptions'!$D$5,5)</f>
        <v>45078</v>
      </c>
      <c r="U37" s="227">
        <f>EDATE('2) Assumptions'!$D$5,6)</f>
        <v>45108</v>
      </c>
      <c r="V37" s="227">
        <f>EDATE('2) Assumptions'!$D$5,7)</f>
        <v>45139</v>
      </c>
      <c r="W37" s="227">
        <f>EDATE('2) Assumptions'!$D$5,8)</f>
        <v>45170</v>
      </c>
      <c r="X37" s="227">
        <f>EDATE('2) Assumptions'!$D$5,9)</f>
        <v>45200</v>
      </c>
      <c r="Y37" s="227">
        <f>EDATE('2) Assumptions'!$D$5,10)</f>
        <v>45231</v>
      </c>
      <c r="Z37" s="227">
        <f>EDATE('2) Assumptions'!$D$5,11)</f>
        <v>45261</v>
      </c>
      <c r="AA37" s="227">
        <f>EDATE('2) Assumptions'!$D$5,0)</f>
        <v>44927</v>
      </c>
      <c r="AB37" s="227">
        <f>EDATE('2) Assumptions'!$D$5,1)</f>
        <v>44958</v>
      </c>
      <c r="AC37" s="227">
        <f>EDATE('2) Assumptions'!$D$5,2)</f>
        <v>44986</v>
      </c>
      <c r="AD37" s="227">
        <f>EDATE('2) Assumptions'!$D$5,3)</f>
        <v>45017</v>
      </c>
      <c r="AE37" s="227">
        <f>EDATE('2) Assumptions'!$D$5,4)</f>
        <v>45047</v>
      </c>
      <c r="AF37" s="227">
        <f>EDATE('2) Assumptions'!$D$5,5)</f>
        <v>45078</v>
      </c>
      <c r="AG37" s="227">
        <f>EDATE('2) Assumptions'!$D$5,6)</f>
        <v>45108</v>
      </c>
      <c r="AH37" s="227">
        <f>EDATE('2) Assumptions'!$D$5,7)</f>
        <v>45139</v>
      </c>
      <c r="AI37" s="227">
        <f>EDATE('2) Assumptions'!$D$5,8)</f>
        <v>45170</v>
      </c>
      <c r="AJ37" s="227">
        <f>EDATE('2) Assumptions'!$D$5,9)</f>
        <v>45200</v>
      </c>
      <c r="AK37" s="227">
        <f>EDATE('2) Assumptions'!$D$5,10)</f>
        <v>45231</v>
      </c>
      <c r="AL37" s="227">
        <f>EDATE('2) Assumptions'!$D$5,11)</f>
        <v>45261</v>
      </c>
      <c r="AM37" s="227">
        <f>EDATE('2) Assumptions'!$D$5,0)</f>
        <v>44927</v>
      </c>
      <c r="AN37" s="227">
        <f>EDATE('2) Assumptions'!$D$5,1)</f>
        <v>44958</v>
      </c>
      <c r="AO37" s="227">
        <f>EDATE('2) Assumptions'!$D$5,2)</f>
        <v>44986</v>
      </c>
      <c r="AP37" s="227">
        <f>EDATE('2) Assumptions'!$D$5,3)</f>
        <v>45017</v>
      </c>
      <c r="AQ37" s="227">
        <f>EDATE('2) Assumptions'!$D$5,4)</f>
        <v>45047</v>
      </c>
      <c r="AR37" s="227">
        <f>EDATE('2) Assumptions'!$D$5,5)</f>
        <v>45078</v>
      </c>
      <c r="AS37" s="227">
        <f>EDATE('2) Assumptions'!$D$5,6)</f>
        <v>45108</v>
      </c>
      <c r="AT37" s="227">
        <f>EDATE('2) Assumptions'!$D$5,7)</f>
        <v>45139</v>
      </c>
      <c r="AU37" s="227">
        <f>EDATE('2) Assumptions'!$D$5,8)</f>
        <v>45170</v>
      </c>
      <c r="AV37" s="227">
        <f>EDATE('2) Assumptions'!$D$5,9)</f>
        <v>45200</v>
      </c>
      <c r="AW37" s="227">
        <f>EDATE('2) Assumptions'!$D$5,10)</f>
        <v>45231</v>
      </c>
      <c r="AX37" s="227">
        <f>EDATE('2) Assumptions'!$D$5,11)</f>
        <v>45261</v>
      </c>
      <c r="AY37" s="227">
        <f>EDATE('2) Assumptions'!$D$5,0)</f>
        <v>44927</v>
      </c>
      <c r="AZ37" s="227">
        <f>EDATE('2) Assumptions'!$D$5,1)</f>
        <v>44958</v>
      </c>
      <c r="BA37" s="227">
        <f>EDATE('2) Assumptions'!$D$5,2)</f>
        <v>44986</v>
      </c>
      <c r="BB37" s="227">
        <f>EDATE('2) Assumptions'!$D$5,3)</f>
        <v>45017</v>
      </c>
      <c r="BC37" s="227">
        <f>EDATE('2) Assumptions'!$D$5,4)</f>
        <v>45047</v>
      </c>
      <c r="BD37" s="227">
        <f>EDATE('2) Assumptions'!$D$5,5)</f>
        <v>45078</v>
      </c>
      <c r="BE37" s="227">
        <f>EDATE('2) Assumptions'!$D$5,6)</f>
        <v>45108</v>
      </c>
      <c r="BF37" s="227">
        <f>EDATE('2) Assumptions'!$D$5,7)</f>
        <v>45139</v>
      </c>
      <c r="BG37" s="227">
        <f>EDATE('2) Assumptions'!$D$5,8)</f>
        <v>45170</v>
      </c>
      <c r="BH37" s="227">
        <f>EDATE('2) Assumptions'!$D$5,9)</f>
        <v>45200</v>
      </c>
      <c r="BI37" s="227">
        <f>EDATE('2) Assumptions'!$D$5,10)</f>
        <v>45231</v>
      </c>
      <c r="BJ37" s="227">
        <f>EDATE('2) Assumptions'!$D$5,11)</f>
        <v>45261</v>
      </c>
    </row>
    <row r="38" spans="1:62" s="228" customFormat="1" ht="14" customHeight="1">
      <c r="A38" s="198" t="s">
        <v>29</v>
      </c>
      <c r="B38" s="199"/>
      <c r="C38" s="191">
        <f>'3) Projected Sales Forecast'!J12+'3) Projected Sales Forecast'!J27+'3) Projected Sales Forecast'!J42+'3) Projected Sales Forecast'!J57</f>
        <v>450000</v>
      </c>
      <c r="D38" s="191">
        <f>'3) Projected Sales Forecast'!K12+'3) Projected Sales Forecast'!K27+'3) Projected Sales Forecast'!K42+'3) Projected Sales Forecast'!K57</f>
        <v>483750</v>
      </c>
      <c r="E38" s="191">
        <f>'3) Projected Sales Forecast'!L12+'3) Projected Sales Forecast'!L27+'3) Projected Sales Forecast'!L42+'3) Projected Sales Forecast'!L57</f>
        <v>520031.25</v>
      </c>
      <c r="F38" s="191">
        <f>'3) Projected Sales Forecast'!M12+'3) Projected Sales Forecast'!M27+'3) Projected Sales Forecast'!M42+'3) Projected Sales Forecast'!M57</f>
        <v>559033.59375</v>
      </c>
      <c r="G38" s="191">
        <f>'3) Projected Sales Forecast'!N12+'3) Projected Sales Forecast'!N27+'3) Projected Sales Forecast'!N42+'3) Projected Sales Forecast'!N57</f>
        <v>600961.11328125</v>
      </c>
      <c r="H38" s="191">
        <f>'3) Projected Sales Forecast'!O12+'3) Projected Sales Forecast'!O27+'3) Projected Sales Forecast'!O42+'3) Projected Sales Forecast'!O57</f>
        <v>646033.19677734375</v>
      </c>
      <c r="I38" s="191">
        <f>'3) Projected Sales Forecast'!P12+'3) Projected Sales Forecast'!P27+'3) Projected Sales Forecast'!P42+'3) Projected Sales Forecast'!P57</f>
        <v>694485.68653564458</v>
      </c>
      <c r="J38" s="191">
        <f>'3) Projected Sales Forecast'!Q12+'3) Projected Sales Forecast'!Q27+'3) Projected Sales Forecast'!Q42+'3) Projected Sales Forecast'!Q57</f>
        <v>746572.11302581779</v>
      </c>
      <c r="K38" s="191">
        <f>'3) Projected Sales Forecast'!R12+'3) Projected Sales Forecast'!R27+'3) Projected Sales Forecast'!R42+'3) Projected Sales Forecast'!R57</f>
        <v>802565.02150275395</v>
      </c>
      <c r="L38" s="191">
        <f>'3) Projected Sales Forecast'!S12+'3) Projected Sales Forecast'!S27+'3) Projected Sales Forecast'!S42+'3) Projected Sales Forecast'!S57</f>
        <v>862757.39811546053</v>
      </c>
      <c r="M38" s="191">
        <f>'3) Projected Sales Forecast'!T12+'3) Projected Sales Forecast'!T27+'3) Projected Sales Forecast'!T42+'3) Projected Sales Forecast'!T57</f>
        <v>927464.20297412004</v>
      </c>
      <c r="N38" s="191">
        <f>'3) Projected Sales Forecast'!U12+'3) Projected Sales Forecast'!U27+'3) Projected Sales Forecast'!U42+'3) Projected Sales Forecast'!U57</f>
        <v>997024.01819717907</v>
      </c>
      <c r="O38" s="191">
        <f>'3) Projected Sales Forecast'!V12+'3) Projected Sales Forecast'!V27+'3) Projected Sales Forecast'!V42+'3) Projected Sales Forecast'!V57</f>
        <v>1071800.8195619674</v>
      </c>
      <c r="P38" s="191">
        <f>'3) Projected Sales Forecast'!W12+'3) Projected Sales Forecast'!W27+'3) Projected Sales Forecast'!W42+'3) Projected Sales Forecast'!W57</f>
        <v>1152185.8810291148</v>
      </c>
      <c r="Q38" s="191">
        <f>'3) Projected Sales Forecast'!X12+'3) Projected Sales Forecast'!X27+'3) Projected Sales Forecast'!X42+'3) Projected Sales Forecast'!X57</f>
        <v>1238599.8221062983</v>
      </c>
      <c r="R38" s="191">
        <f>'3) Projected Sales Forecast'!Y12+'3) Projected Sales Forecast'!Y27+'3) Projected Sales Forecast'!Y42+'3) Projected Sales Forecast'!Y57</f>
        <v>1331494.808764271</v>
      </c>
      <c r="S38" s="191">
        <f>'3) Projected Sales Forecast'!Z12+'3) Projected Sales Forecast'!Z27+'3) Projected Sales Forecast'!Z42+'3) Projected Sales Forecast'!Z57</f>
        <v>1431356.9194215911</v>
      </c>
      <c r="T38" s="191">
        <f>'3) Projected Sales Forecast'!AA12+'3) Projected Sales Forecast'!AA27+'3) Projected Sales Forecast'!AA42+'3) Projected Sales Forecast'!AA57</f>
        <v>1538708.6883782102</v>
      </c>
      <c r="U38" s="191">
        <f>'3) Projected Sales Forecast'!AB12+'3) Projected Sales Forecast'!AB27+'3) Projected Sales Forecast'!AB42+'3) Projected Sales Forecast'!AB57</f>
        <v>1654111.8400065762</v>
      </c>
      <c r="V38" s="191">
        <f>'3) Projected Sales Forecast'!AC12+'3) Projected Sales Forecast'!AC27+'3) Projected Sales Forecast'!AC42+'3) Projected Sales Forecast'!AC57</f>
        <v>1778170.2280070689</v>
      </c>
      <c r="W38" s="191">
        <f>'3) Projected Sales Forecast'!AD12+'3) Projected Sales Forecast'!AD27+'3) Projected Sales Forecast'!AD42+'3) Projected Sales Forecast'!AD57</f>
        <v>1911532.9951075991</v>
      </c>
      <c r="X38" s="191">
        <f>'3) Projected Sales Forecast'!AE12+'3) Projected Sales Forecast'!AE27+'3) Projected Sales Forecast'!AE42+'3) Projected Sales Forecast'!AE57</f>
        <v>2054897.9697406692</v>
      </c>
      <c r="Y38" s="191">
        <f>'3) Projected Sales Forecast'!AF12+'3) Projected Sales Forecast'!AF27+'3) Projected Sales Forecast'!AF42+'3) Projected Sales Forecast'!AF57</f>
        <v>2209015.3174712192</v>
      </c>
      <c r="Z38" s="191">
        <f>'3) Projected Sales Forecast'!AG12+'3) Projected Sales Forecast'!AG27+'3) Projected Sales Forecast'!AG42+'3) Projected Sales Forecast'!AG57</f>
        <v>2374691.4662815607</v>
      </c>
      <c r="AA38" s="191">
        <f>'3) Projected Sales Forecast'!AH12+'3) Projected Sales Forecast'!AH27+'3) Projected Sales Forecast'!AH42+'3) Projected Sales Forecast'!AH57</f>
        <v>2552793.3262526775</v>
      </c>
      <c r="AB38" s="191">
        <f>'3) Projected Sales Forecast'!AI12+'3) Projected Sales Forecast'!AI27+'3) Projected Sales Forecast'!AI42+'3) Projected Sales Forecast'!AI57</f>
        <v>2744252.825721628</v>
      </c>
      <c r="AC38" s="191">
        <f>'3) Projected Sales Forecast'!AJ12+'3) Projected Sales Forecast'!AJ27+'3) Projected Sales Forecast'!AJ42+'3) Projected Sales Forecast'!AJ57</f>
        <v>2950071.78765075</v>
      </c>
      <c r="AD38" s="191">
        <f>'3) Projected Sales Forecast'!AK12+'3) Projected Sales Forecast'!AK27+'3) Projected Sales Forecast'!AK42+'3) Projected Sales Forecast'!AK57</f>
        <v>3171327.1717245565</v>
      </c>
      <c r="AE38" s="191">
        <f>'3) Projected Sales Forecast'!AL12+'3) Projected Sales Forecast'!AL27+'3) Projected Sales Forecast'!AL42+'3) Projected Sales Forecast'!AL57</f>
        <v>3409176.7096038982</v>
      </c>
      <c r="AF38" s="191">
        <f>'3) Projected Sales Forecast'!AM12+'3) Projected Sales Forecast'!AM27+'3) Projected Sales Forecast'!AM42+'3) Projected Sales Forecast'!AM57</f>
        <v>3664864.96282419</v>
      </c>
      <c r="AG38" s="191">
        <f>'3) Projected Sales Forecast'!AN12+'3) Projected Sales Forecast'!AN27+'3) Projected Sales Forecast'!AN42+'3) Projected Sales Forecast'!AN57</f>
        <v>3939729.8350360049</v>
      </c>
      <c r="AH38" s="191">
        <f>'3) Projected Sales Forecast'!AO12+'3) Projected Sales Forecast'!AO27+'3) Projected Sales Forecast'!AO42+'3) Projected Sales Forecast'!AO57</f>
        <v>4235209.5726637039</v>
      </c>
      <c r="AI38" s="191">
        <f>'3) Projected Sales Forecast'!AP12+'3) Projected Sales Forecast'!AP27+'3) Projected Sales Forecast'!AP42+'3) Projected Sales Forecast'!AP57</f>
        <v>4552850.2906134827</v>
      </c>
      <c r="AJ38" s="191">
        <f>'3) Projected Sales Forecast'!AQ12+'3) Projected Sales Forecast'!AQ27+'3) Projected Sales Forecast'!AQ42+'3) Projected Sales Forecast'!AQ57</f>
        <v>4894314.0624094931</v>
      </c>
      <c r="AK38" s="191">
        <f>'3) Projected Sales Forecast'!AR12+'3) Projected Sales Forecast'!AR27+'3) Projected Sales Forecast'!AR42+'3) Projected Sales Forecast'!AR57</f>
        <v>5261387.6170902047</v>
      </c>
      <c r="AL38" s="191">
        <f>'3) Projected Sales Forecast'!AS12+'3) Projected Sales Forecast'!AS27+'3) Projected Sales Forecast'!AS42+'3) Projected Sales Forecast'!AS57</f>
        <v>5655991.6883719703</v>
      </c>
      <c r="AM38" s="191">
        <f>'3) Projected Sales Forecast'!AT12+'3) Projected Sales Forecast'!AT27+'3) Projected Sales Forecast'!AT42+'3) Projected Sales Forecast'!AT57</f>
        <v>6080191.0649998672</v>
      </c>
      <c r="AN38" s="191">
        <f>'3) Projected Sales Forecast'!AU12+'3) Projected Sales Forecast'!AU27+'3) Projected Sales Forecast'!AU42+'3) Projected Sales Forecast'!AU57</f>
        <v>6536205.3948748568</v>
      </c>
      <c r="AO38" s="191">
        <f>'3) Projected Sales Forecast'!AV12+'3) Projected Sales Forecast'!AV27+'3) Projected Sales Forecast'!AV42+'3) Projected Sales Forecast'!AV57</f>
        <v>7026420.7994904714</v>
      </c>
      <c r="AP38" s="191">
        <f>'3) Projected Sales Forecast'!AW12+'3) Projected Sales Forecast'!AW27+'3) Projected Sales Forecast'!AW42+'3) Projected Sales Forecast'!AW57</f>
        <v>7553402.359452256</v>
      </c>
      <c r="AQ38" s="191">
        <f>'3) Projected Sales Forecast'!AX12+'3) Projected Sales Forecast'!AX27+'3) Projected Sales Forecast'!AX42+'3) Projected Sales Forecast'!AX57</f>
        <v>8119907.5364111746</v>
      </c>
      <c r="AR38" s="191">
        <f>'3) Projected Sales Forecast'!AY12+'3) Projected Sales Forecast'!AY27+'3) Projected Sales Forecast'!AY42+'3) Projected Sales Forecast'!AY57</f>
        <v>8728900.6016420126</v>
      </c>
      <c r="AS38" s="191">
        <f>'3) Projected Sales Forecast'!AZ12+'3) Projected Sales Forecast'!AZ27+'3) Projected Sales Forecast'!AZ42+'3) Projected Sales Forecast'!AZ57</f>
        <v>9383568.146765165</v>
      </c>
      <c r="AT38" s="191">
        <f>'3) Projected Sales Forecast'!BA12+'3) Projected Sales Forecast'!BA27+'3) Projected Sales Forecast'!BA42+'3) Projected Sales Forecast'!BA57</f>
        <v>10087335.75777255</v>
      </c>
      <c r="AU38" s="191">
        <f>'3) Projected Sales Forecast'!BB12+'3) Projected Sales Forecast'!BB27+'3) Projected Sales Forecast'!BB42+'3) Projected Sales Forecast'!BB57</f>
        <v>10843885.939605493</v>
      </c>
      <c r="AV38" s="191">
        <f>'3) Projected Sales Forecast'!BC12+'3) Projected Sales Forecast'!BC27+'3) Projected Sales Forecast'!BC42+'3) Projected Sales Forecast'!BC57</f>
        <v>11657177.385075903</v>
      </c>
      <c r="AW38" s="191">
        <f>'3) Projected Sales Forecast'!BD12+'3) Projected Sales Forecast'!BD27+'3) Projected Sales Forecast'!BD42+'3) Projected Sales Forecast'!BD57</f>
        <v>12531465.688956596</v>
      </c>
      <c r="AX38" s="191">
        <f>'3) Projected Sales Forecast'!BE12+'3) Projected Sales Forecast'!BE27+'3) Projected Sales Forecast'!BE42+'3) Projected Sales Forecast'!BE57</f>
        <v>13471325.615628339</v>
      </c>
      <c r="AY38" s="191">
        <f>'3) Projected Sales Forecast'!BF12+'3) Projected Sales Forecast'!BF27+'3) Projected Sales Forecast'!BF42+'3) Projected Sales Forecast'!BF57</f>
        <v>14481675.036800466</v>
      </c>
      <c r="AZ38" s="191">
        <f>'3) Projected Sales Forecast'!BG12+'3) Projected Sales Forecast'!BG27+'3) Projected Sales Forecast'!BG42+'3) Projected Sales Forecast'!BG57</f>
        <v>15567800.664560497</v>
      </c>
      <c r="BA38" s="191">
        <f>'3) Projected Sales Forecast'!BH12+'3) Projected Sales Forecast'!BH27+'3) Projected Sales Forecast'!BH42+'3) Projected Sales Forecast'!BH57</f>
        <v>16735385.714402534</v>
      </c>
      <c r="BB38" s="191">
        <f>'3) Projected Sales Forecast'!BI12+'3) Projected Sales Forecast'!BI27+'3) Projected Sales Forecast'!BI42+'3) Projected Sales Forecast'!BI57</f>
        <v>17990539.642982729</v>
      </c>
      <c r="BC38" s="191">
        <f>'3) Projected Sales Forecast'!BJ12+'3) Projected Sales Forecast'!BJ27+'3) Projected Sales Forecast'!BJ42+'3) Projected Sales Forecast'!BJ57</f>
        <v>19339830.11620643</v>
      </c>
      <c r="BD38" s="191">
        <f>'3) Projected Sales Forecast'!BK12+'3) Projected Sales Forecast'!BK27+'3) Projected Sales Forecast'!BK42+'3) Projected Sales Forecast'!BK57</f>
        <v>20790317.37492191</v>
      </c>
      <c r="BE38" s="191">
        <f>'3) Projected Sales Forecast'!BL12+'3) Projected Sales Forecast'!BL27+'3) Projected Sales Forecast'!BL42+'3) Projected Sales Forecast'!BL57</f>
        <v>22349591.178041052</v>
      </c>
      <c r="BF38" s="191">
        <f>'3) Projected Sales Forecast'!BM12+'3) Projected Sales Forecast'!BM27+'3) Projected Sales Forecast'!BM42+'3) Projected Sales Forecast'!BM57</f>
        <v>24025810.516394131</v>
      </c>
      <c r="BG38" s="191">
        <f>'3) Projected Sales Forecast'!BN12+'3) Projected Sales Forecast'!BN27+'3) Projected Sales Forecast'!BN42+'3) Projected Sales Forecast'!BN57</f>
        <v>25827746.305123687</v>
      </c>
      <c r="BH38" s="191">
        <f>'3) Projected Sales Forecast'!BO12+'3) Projected Sales Forecast'!BO27+'3) Projected Sales Forecast'!BO42+'3) Projected Sales Forecast'!BO57</f>
        <v>27764827.278007962</v>
      </c>
      <c r="BI38" s="191">
        <f>'3) Projected Sales Forecast'!BP12+'3) Projected Sales Forecast'!BP27+'3) Projected Sales Forecast'!BP42+'3) Projected Sales Forecast'!BP57</f>
        <v>29847189.323858563</v>
      </c>
      <c r="BJ38" s="191">
        <f>'3) Projected Sales Forecast'!BQ12+'3) Projected Sales Forecast'!BQ27+'3) Projected Sales Forecast'!BQ42+'3) Projected Sales Forecast'!BQ57</f>
        <v>32085728.523147948</v>
      </c>
    </row>
    <row r="39" spans="1:62" s="228" customFormat="1" ht="14" customHeight="1">
      <c r="A39" s="229" t="s">
        <v>263</v>
      </c>
      <c r="B39" s="229"/>
      <c r="C39" s="230">
        <f>'3) Projected Sales Forecast'!J16+'3) Projected Sales Forecast'!J31+'3) Projected Sales Forecast'!J46+'3) Projected Sales Forecast'!J61</f>
        <v>45000</v>
      </c>
      <c r="D39" s="230">
        <f>'3) Projected Sales Forecast'!K16+'3) Projected Sales Forecast'!K31+'3) Projected Sales Forecast'!K46+'3) Projected Sales Forecast'!K61</f>
        <v>48375</v>
      </c>
      <c r="E39" s="230">
        <f>'3) Projected Sales Forecast'!L16+'3) Projected Sales Forecast'!L31+'3) Projected Sales Forecast'!L46+'3) Projected Sales Forecast'!L61</f>
        <v>52003.125</v>
      </c>
      <c r="F39" s="230">
        <f>'3) Projected Sales Forecast'!M16+'3) Projected Sales Forecast'!M31+'3) Projected Sales Forecast'!M46+'3) Projected Sales Forecast'!M61</f>
        <v>55903.359375</v>
      </c>
      <c r="G39" s="230">
        <f>'3) Projected Sales Forecast'!N16+'3) Projected Sales Forecast'!N31+'3) Projected Sales Forecast'!N46+'3) Projected Sales Forecast'!N61</f>
        <v>60096.111328125</v>
      </c>
      <c r="H39" s="230">
        <f>'3) Projected Sales Forecast'!O16+'3) Projected Sales Forecast'!O31+'3) Projected Sales Forecast'!O46+'3) Projected Sales Forecast'!O61</f>
        <v>64603.319677734369</v>
      </c>
      <c r="I39" s="230">
        <f>'3) Projected Sales Forecast'!P16+'3) Projected Sales Forecast'!P31+'3) Projected Sales Forecast'!P46+'3) Projected Sales Forecast'!P61</f>
        <v>69448.568653564449</v>
      </c>
      <c r="J39" s="230">
        <f>'3) Projected Sales Forecast'!Q16+'3) Projected Sales Forecast'!Q31+'3) Projected Sales Forecast'!Q46+'3) Projected Sales Forecast'!Q61</f>
        <v>74657.211302581782</v>
      </c>
      <c r="K39" s="230">
        <f>'3) Projected Sales Forecast'!R16+'3) Projected Sales Forecast'!R31+'3) Projected Sales Forecast'!R46+'3) Projected Sales Forecast'!R61</f>
        <v>80256.50215027541</v>
      </c>
      <c r="L39" s="230">
        <f>'3) Projected Sales Forecast'!S16+'3) Projected Sales Forecast'!S31+'3) Projected Sales Forecast'!S46+'3) Projected Sales Forecast'!S61</f>
        <v>86275.739811546053</v>
      </c>
      <c r="M39" s="230">
        <f>'3) Projected Sales Forecast'!T16+'3) Projected Sales Forecast'!T31+'3) Projected Sales Forecast'!T46+'3) Projected Sales Forecast'!T61</f>
        <v>92746.420297412013</v>
      </c>
      <c r="N39" s="230">
        <f>'3) Projected Sales Forecast'!U16+'3) Projected Sales Forecast'!U31+'3) Projected Sales Forecast'!U46+'3) Projected Sales Forecast'!U61</f>
        <v>99702.401819717896</v>
      </c>
      <c r="O39" s="230">
        <f>'3) Projected Sales Forecast'!V16+'3) Projected Sales Forecast'!V31+'3) Projected Sales Forecast'!V46+'3) Projected Sales Forecast'!V61</f>
        <v>107180.08195619675</v>
      </c>
      <c r="P39" s="230">
        <f>'3) Projected Sales Forecast'!W16+'3) Projected Sales Forecast'!W31+'3) Projected Sales Forecast'!W46+'3) Projected Sales Forecast'!W61</f>
        <v>115218.5881029115</v>
      </c>
      <c r="Q39" s="230">
        <f>'3) Projected Sales Forecast'!X16+'3) Projected Sales Forecast'!X31+'3) Projected Sales Forecast'!X46+'3) Projected Sales Forecast'!X61</f>
        <v>123859.98221062985</v>
      </c>
      <c r="R39" s="230">
        <f>'3) Projected Sales Forecast'!Y16+'3) Projected Sales Forecast'!Y31+'3) Projected Sales Forecast'!Y46+'3) Projected Sales Forecast'!Y61</f>
        <v>133149.48087642709</v>
      </c>
      <c r="S39" s="230">
        <f>'3) Projected Sales Forecast'!Z16+'3) Projected Sales Forecast'!Z31+'3) Projected Sales Forecast'!Z46+'3) Projected Sales Forecast'!Z61</f>
        <v>143135.69194215909</v>
      </c>
      <c r="T39" s="230">
        <f>'3) Projected Sales Forecast'!AA16+'3) Projected Sales Forecast'!AA31+'3) Projected Sales Forecast'!AA46+'3) Projected Sales Forecast'!AA61</f>
        <v>153870.86883782104</v>
      </c>
      <c r="U39" s="230">
        <f>'3) Projected Sales Forecast'!AB16+'3) Projected Sales Forecast'!AB31+'3) Projected Sales Forecast'!AB46+'3) Projected Sales Forecast'!AB61</f>
        <v>165411.18400065764</v>
      </c>
      <c r="V39" s="230">
        <f>'3) Projected Sales Forecast'!AC16+'3) Projected Sales Forecast'!AC31+'3) Projected Sales Forecast'!AC46+'3) Projected Sales Forecast'!AC61</f>
        <v>177817.02280070691</v>
      </c>
      <c r="W39" s="230">
        <f>'3) Projected Sales Forecast'!AD16+'3) Projected Sales Forecast'!AD31+'3) Projected Sales Forecast'!AD46+'3) Projected Sales Forecast'!AD61</f>
        <v>191153.29951075994</v>
      </c>
      <c r="X39" s="230">
        <f>'3) Projected Sales Forecast'!AE16+'3) Projected Sales Forecast'!AE31+'3) Projected Sales Forecast'!AE46+'3) Projected Sales Forecast'!AE61</f>
        <v>205489.79697406694</v>
      </c>
      <c r="Y39" s="230">
        <f>'3) Projected Sales Forecast'!AF16+'3) Projected Sales Forecast'!AF31+'3) Projected Sales Forecast'!AF46+'3) Projected Sales Forecast'!AF61</f>
        <v>220901.53174712195</v>
      </c>
      <c r="Z39" s="230">
        <f>'3) Projected Sales Forecast'!AG16+'3) Projected Sales Forecast'!AG31+'3) Projected Sales Forecast'!AG46+'3) Projected Sales Forecast'!AG61</f>
        <v>237469.14662815607</v>
      </c>
      <c r="AA39" s="230">
        <f>'3) Projected Sales Forecast'!AH16+'3) Projected Sales Forecast'!AH31+'3) Projected Sales Forecast'!AH46+'3) Projected Sales Forecast'!AH61</f>
        <v>255279.33262526779</v>
      </c>
      <c r="AB39" s="230">
        <f>'3) Projected Sales Forecast'!AI16+'3) Projected Sales Forecast'!AI31+'3) Projected Sales Forecast'!AI46+'3) Projected Sales Forecast'!AI61</f>
        <v>274425.2825721628</v>
      </c>
      <c r="AC39" s="230">
        <f>'3) Projected Sales Forecast'!AJ16+'3) Projected Sales Forecast'!AJ31+'3) Projected Sales Forecast'!AJ46+'3) Projected Sales Forecast'!AJ61</f>
        <v>295007.17876507505</v>
      </c>
      <c r="AD39" s="230">
        <f>'3) Projected Sales Forecast'!AK16+'3) Projected Sales Forecast'!AK31+'3) Projected Sales Forecast'!AK46+'3) Projected Sales Forecast'!AK61</f>
        <v>317132.71717245568</v>
      </c>
      <c r="AE39" s="230">
        <f>'3) Projected Sales Forecast'!AL16+'3) Projected Sales Forecast'!AL31+'3) Projected Sales Forecast'!AL46+'3) Projected Sales Forecast'!AL61</f>
        <v>340917.67096038983</v>
      </c>
      <c r="AF39" s="230">
        <f>'3) Projected Sales Forecast'!AM16+'3) Projected Sales Forecast'!AM31+'3) Projected Sales Forecast'!AM46+'3) Projected Sales Forecast'!AM61</f>
        <v>366486.49628241902</v>
      </c>
      <c r="AG39" s="230">
        <f>'3) Projected Sales Forecast'!AN16+'3) Projected Sales Forecast'!AN31+'3) Projected Sales Forecast'!AN46+'3) Projected Sales Forecast'!AN61</f>
        <v>393972.98350360047</v>
      </c>
      <c r="AH39" s="230">
        <f>'3) Projected Sales Forecast'!AO16+'3) Projected Sales Forecast'!AO31+'3) Projected Sales Forecast'!AO46+'3) Projected Sales Forecast'!AO61</f>
        <v>423520.95726637047</v>
      </c>
      <c r="AI39" s="230">
        <f>'3) Projected Sales Forecast'!AP16+'3) Projected Sales Forecast'!AP31+'3) Projected Sales Forecast'!AP46+'3) Projected Sales Forecast'!AP61</f>
        <v>455285.02906134824</v>
      </c>
      <c r="AJ39" s="230">
        <f>'3) Projected Sales Forecast'!AQ16+'3) Projected Sales Forecast'!AQ31+'3) Projected Sales Forecast'!AQ46+'3) Projected Sales Forecast'!AQ61</f>
        <v>489431.40624094935</v>
      </c>
      <c r="AK39" s="230">
        <f>'3) Projected Sales Forecast'!AR16+'3) Projected Sales Forecast'!AR31+'3) Projected Sales Forecast'!AR46+'3) Projected Sales Forecast'!AR61</f>
        <v>526138.76170902047</v>
      </c>
      <c r="AL39" s="230">
        <f>'3) Projected Sales Forecast'!AS16+'3) Projected Sales Forecast'!AS31+'3) Projected Sales Forecast'!AS46+'3) Projected Sales Forecast'!AS61</f>
        <v>565599.16883719701</v>
      </c>
      <c r="AM39" s="230">
        <f>'3) Projected Sales Forecast'!AT16+'3) Projected Sales Forecast'!AT31+'3) Projected Sales Forecast'!AT46+'3) Projected Sales Forecast'!AT61</f>
        <v>608019.10649998672</v>
      </c>
      <c r="AN39" s="230">
        <f>'3) Projected Sales Forecast'!AU16+'3) Projected Sales Forecast'!AU31+'3) Projected Sales Forecast'!AU46+'3) Projected Sales Forecast'!AU61</f>
        <v>653620.53948748577</v>
      </c>
      <c r="AO39" s="230">
        <f>'3) Projected Sales Forecast'!AV16+'3) Projected Sales Forecast'!AV31+'3) Projected Sales Forecast'!AV46+'3) Projected Sales Forecast'!AV61</f>
        <v>702642.07994904718</v>
      </c>
      <c r="AP39" s="230">
        <f>'3) Projected Sales Forecast'!AW16+'3) Projected Sales Forecast'!AW31+'3) Projected Sales Forecast'!AW46+'3) Projected Sales Forecast'!AW61</f>
        <v>755340.23594522569</v>
      </c>
      <c r="AQ39" s="230">
        <f>'3) Projected Sales Forecast'!AX16+'3) Projected Sales Forecast'!AX31+'3) Projected Sales Forecast'!AX46+'3) Projected Sales Forecast'!AX61</f>
        <v>811990.7536411176</v>
      </c>
      <c r="AR39" s="230">
        <f>'3) Projected Sales Forecast'!AY16+'3) Projected Sales Forecast'!AY31+'3) Projected Sales Forecast'!AY46+'3) Projected Sales Forecast'!AY61</f>
        <v>872890.06016420131</v>
      </c>
      <c r="AS39" s="230">
        <f>'3) Projected Sales Forecast'!AZ16+'3) Projected Sales Forecast'!AZ31+'3) Projected Sales Forecast'!AZ46+'3) Projected Sales Forecast'!AZ61</f>
        <v>938356.81467651646</v>
      </c>
      <c r="AT39" s="230">
        <f>'3) Projected Sales Forecast'!BA16+'3) Projected Sales Forecast'!BA31+'3) Projected Sales Forecast'!BA46+'3) Projected Sales Forecast'!BA61</f>
        <v>1008733.5757772551</v>
      </c>
      <c r="AU39" s="230">
        <f>'3) Projected Sales Forecast'!BB16+'3) Projected Sales Forecast'!BB31+'3) Projected Sales Forecast'!BB46+'3) Projected Sales Forecast'!BB61</f>
        <v>1084388.5939605492</v>
      </c>
      <c r="AV39" s="230">
        <f>'3) Projected Sales Forecast'!BC16+'3) Projected Sales Forecast'!BC31+'3) Projected Sales Forecast'!BC46+'3) Projected Sales Forecast'!BC61</f>
        <v>1165717.7385075905</v>
      </c>
      <c r="AW39" s="230">
        <f>'3) Projected Sales Forecast'!BD16+'3) Projected Sales Forecast'!BD31+'3) Projected Sales Forecast'!BD46+'3) Projected Sales Forecast'!BD61</f>
        <v>1253146.5688956596</v>
      </c>
      <c r="AX39" s="230">
        <f>'3) Projected Sales Forecast'!BE16+'3) Projected Sales Forecast'!BE31+'3) Projected Sales Forecast'!BE46+'3) Projected Sales Forecast'!BE61</f>
        <v>1347132.5615628341</v>
      </c>
      <c r="AY39" s="230">
        <f>'3) Projected Sales Forecast'!BF16+'3) Projected Sales Forecast'!BF31+'3) Projected Sales Forecast'!BF46+'3) Projected Sales Forecast'!BF61</f>
        <v>1448167.5036800466</v>
      </c>
      <c r="AZ39" s="230">
        <f>'3) Projected Sales Forecast'!BG16+'3) Projected Sales Forecast'!BG31+'3) Projected Sales Forecast'!BG46+'3) Projected Sales Forecast'!BG61</f>
        <v>1556780.0664560501</v>
      </c>
      <c r="BA39" s="230">
        <f>'3) Projected Sales Forecast'!BH16+'3) Projected Sales Forecast'!BH31+'3) Projected Sales Forecast'!BH46+'3) Projected Sales Forecast'!BH61</f>
        <v>1673538.5714402536</v>
      </c>
      <c r="BB39" s="230">
        <f>'3) Projected Sales Forecast'!BI16+'3) Projected Sales Forecast'!BI31+'3) Projected Sales Forecast'!BI46+'3) Projected Sales Forecast'!BI61</f>
        <v>1799053.9642982725</v>
      </c>
      <c r="BC39" s="230">
        <f>'3) Projected Sales Forecast'!BJ16+'3) Projected Sales Forecast'!BJ31+'3) Projected Sales Forecast'!BJ46+'3) Projected Sales Forecast'!BJ61</f>
        <v>1933983.0116206431</v>
      </c>
      <c r="BD39" s="230">
        <f>'3) Projected Sales Forecast'!BK16+'3) Projected Sales Forecast'!BK31+'3) Projected Sales Forecast'!BK46+'3) Projected Sales Forecast'!BK61</f>
        <v>2079031.7374921911</v>
      </c>
      <c r="BE39" s="230">
        <f>'3) Projected Sales Forecast'!BL16+'3) Projected Sales Forecast'!BL31+'3) Projected Sales Forecast'!BL46+'3) Projected Sales Forecast'!BL61</f>
        <v>2234959.1178041054</v>
      </c>
      <c r="BF39" s="230">
        <f>'3) Projected Sales Forecast'!BM16+'3) Projected Sales Forecast'!BM31+'3) Projected Sales Forecast'!BM46+'3) Projected Sales Forecast'!BM61</f>
        <v>2402581.051639413</v>
      </c>
      <c r="BG39" s="230">
        <f>'3) Projected Sales Forecast'!BN16+'3) Projected Sales Forecast'!BN31+'3) Projected Sales Forecast'!BN46+'3) Projected Sales Forecast'!BN61</f>
        <v>2582774.6305123689</v>
      </c>
      <c r="BH39" s="230">
        <f>'3) Projected Sales Forecast'!BO16+'3) Projected Sales Forecast'!BO31+'3) Projected Sales Forecast'!BO46+'3) Projected Sales Forecast'!BO61</f>
        <v>2776482.7278007967</v>
      </c>
      <c r="BI39" s="230">
        <f>'3) Projected Sales Forecast'!BP16+'3) Projected Sales Forecast'!BP31+'3) Projected Sales Forecast'!BP46+'3) Projected Sales Forecast'!BP61</f>
        <v>2984718.9323858563</v>
      </c>
      <c r="BJ39" s="230">
        <f>'3) Projected Sales Forecast'!BQ16+'3) Projected Sales Forecast'!BQ31+'3) Projected Sales Forecast'!BQ46+'3) Projected Sales Forecast'!BQ61</f>
        <v>3208572.8523147954</v>
      </c>
    </row>
    <row r="40" spans="1:62" s="228" customFormat="1" ht="14" customHeight="1">
      <c r="A40" s="231" t="s">
        <v>160</v>
      </c>
      <c r="B40" s="231"/>
      <c r="C40" s="191">
        <f t="shared" ref="C40:AH40" si="0">C38-C39</f>
        <v>405000</v>
      </c>
      <c r="D40" s="191">
        <f t="shared" si="0"/>
        <v>435375</v>
      </c>
      <c r="E40" s="191">
        <f t="shared" si="0"/>
        <v>468028.125</v>
      </c>
      <c r="F40" s="191">
        <f t="shared" si="0"/>
        <v>503130.234375</v>
      </c>
      <c r="G40" s="191">
        <f t="shared" si="0"/>
        <v>540865.001953125</v>
      </c>
      <c r="H40" s="191">
        <f t="shared" si="0"/>
        <v>581429.87709960935</v>
      </c>
      <c r="I40" s="191">
        <f t="shared" si="0"/>
        <v>625037.11788208014</v>
      </c>
      <c r="J40" s="191">
        <f t="shared" si="0"/>
        <v>671914.90172323596</v>
      </c>
      <c r="K40" s="191">
        <f t="shared" si="0"/>
        <v>722308.51935247856</v>
      </c>
      <c r="L40" s="191">
        <f t="shared" si="0"/>
        <v>776481.65830391448</v>
      </c>
      <c r="M40" s="191">
        <f t="shared" si="0"/>
        <v>834717.78267670807</v>
      </c>
      <c r="N40" s="191">
        <f t="shared" si="0"/>
        <v>897321.61637746124</v>
      </c>
      <c r="O40" s="191">
        <f t="shared" si="0"/>
        <v>964620.73760577058</v>
      </c>
      <c r="P40" s="191">
        <f t="shared" si="0"/>
        <v>1036967.2929262033</v>
      </c>
      <c r="Q40" s="191">
        <f t="shared" si="0"/>
        <v>1114739.8398956684</v>
      </c>
      <c r="R40" s="191">
        <f t="shared" si="0"/>
        <v>1198345.3278878438</v>
      </c>
      <c r="S40" s="191">
        <f t="shared" si="0"/>
        <v>1288221.227479432</v>
      </c>
      <c r="T40" s="191">
        <f t="shared" si="0"/>
        <v>1384837.8195403891</v>
      </c>
      <c r="U40" s="191">
        <f t="shared" si="0"/>
        <v>1488700.6560059185</v>
      </c>
      <c r="V40" s="191">
        <f t="shared" si="0"/>
        <v>1600353.2052063621</v>
      </c>
      <c r="W40" s="191">
        <f t="shared" si="0"/>
        <v>1720379.6955968391</v>
      </c>
      <c r="X40" s="191">
        <f t="shared" si="0"/>
        <v>1849408.1727666024</v>
      </c>
      <c r="Y40" s="191">
        <f t="shared" si="0"/>
        <v>1988113.7857240974</v>
      </c>
      <c r="Z40" s="191">
        <f t="shared" si="0"/>
        <v>2137222.3196534049</v>
      </c>
      <c r="AA40" s="191">
        <f t="shared" si="0"/>
        <v>2297513.9936274095</v>
      </c>
      <c r="AB40" s="191">
        <f t="shared" si="0"/>
        <v>2469827.5431494652</v>
      </c>
      <c r="AC40" s="191">
        <f t="shared" si="0"/>
        <v>2655064.6088856747</v>
      </c>
      <c r="AD40" s="191">
        <f t="shared" si="0"/>
        <v>2854194.454552101</v>
      </c>
      <c r="AE40" s="191">
        <f t="shared" si="0"/>
        <v>3068259.0386435082</v>
      </c>
      <c r="AF40" s="191">
        <f t="shared" si="0"/>
        <v>3298378.4665417708</v>
      </c>
      <c r="AG40" s="191">
        <f t="shared" si="0"/>
        <v>3545756.8515324043</v>
      </c>
      <c r="AH40" s="191">
        <f t="shared" si="0"/>
        <v>3811688.6153973336</v>
      </c>
      <c r="AI40" s="191">
        <f t="shared" ref="AI40:BJ40" si="1">AI38-AI39</f>
        <v>4097565.2615521345</v>
      </c>
      <c r="AJ40" s="191">
        <f t="shared" si="1"/>
        <v>4404882.6561685437</v>
      </c>
      <c r="AK40" s="191">
        <f t="shared" si="1"/>
        <v>4735248.8553811843</v>
      </c>
      <c r="AL40" s="191">
        <f t="shared" si="1"/>
        <v>5090392.5195347732</v>
      </c>
      <c r="AM40" s="191">
        <f t="shared" si="1"/>
        <v>5472171.9584998805</v>
      </c>
      <c r="AN40" s="191">
        <f t="shared" si="1"/>
        <v>5882584.855387371</v>
      </c>
      <c r="AO40" s="191">
        <f t="shared" si="1"/>
        <v>6323778.719541424</v>
      </c>
      <c r="AP40" s="191">
        <f t="shared" si="1"/>
        <v>6798062.1235070303</v>
      </c>
      <c r="AQ40" s="191">
        <f t="shared" si="1"/>
        <v>7307916.7827700572</v>
      </c>
      <c r="AR40" s="191">
        <f t="shared" si="1"/>
        <v>7856010.5414778115</v>
      </c>
      <c r="AS40" s="191">
        <f t="shared" si="1"/>
        <v>8445211.3320886493</v>
      </c>
      <c r="AT40" s="191">
        <f t="shared" si="1"/>
        <v>9078602.181995295</v>
      </c>
      <c r="AU40" s="191">
        <f t="shared" si="1"/>
        <v>9759497.3456449434</v>
      </c>
      <c r="AV40" s="191">
        <f t="shared" si="1"/>
        <v>10491459.646568311</v>
      </c>
      <c r="AW40" s="191">
        <f t="shared" si="1"/>
        <v>11278319.120060936</v>
      </c>
      <c r="AX40" s="191">
        <f t="shared" si="1"/>
        <v>12124193.054065505</v>
      </c>
      <c r="AY40" s="191">
        <f t="shared" si="1"/>
        <v>13033507.53312042</v>
      </c>
      <c r="AZ40" s="191">
        <f t="shared" si="1"/>
        <v>14011020.598104447</v>
      </c>
      <c r="BA40" s="191">
        <f t="shared" si="1"/>
        <v>15061847.142962281</v>
      </c>
      <c r="BB40" s="191">
        <f t="shared" si="1"/>
        <v>16191485.678684456</v>
      </c>
      <c r="BC40" s="191">
        <f t="shared" si="1"/>
        <v>17405847.104585785</v>
      </c>
      <c r="BD40" s="191">
        <f t="shared" si="1"/>
        <v>18711285.637429718</v>
      </c>
      <c r="BE40" s="191">
        <f t="shared" si="1"/>
        <v>20114632.060236946</v>
      </c>
      <c r="BF40" s="191">
        <f t="shared" si="1"/>
        <v>21623229.464754719</v>
      </c>
      <c r="BG40" s="191">
        <f t="shared" si="1"/>
        <v>23244971.674611319</v>
      </c>
      <c r="BH40" s="191">
        <f t="shared" si="1"/>
        <v>24988344.550207164</v>
      </c>
      <c r="BI40" s="191">
        <f t="shared" si="1"/>
        <v>26862470.391472705</v>
      </c>
      <c r="BJ40" s="191">
        <f t="shared" si="1"/>
        <v>28877155.670833152</v>
      </c>
    </row>
    <row r="41" spans="1:62" s="228" customFormat="1" ht="14" customHeight="1">
      <c r="A41" s="188" t="s">
        <v>30</v>
      </c>
      <c r="B41" s="187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</row>
    <row r="42" spans="1:62" s="228" customFormat="1" ht="14" customHeight="1">
      <c r="A42" s="188"/>
      <c r="B42" s="233" t="str">
        <f>'4) Operating Expenses'!I5</f>
        <v>Salaries &amp; Wages</v>
      </c>
      <c r="C42" s="232">
        <f>'4) Operating Expenses'!O5</f>
        <v>250000</v>
      </c>
      <c r="D42" s="232">
        <f>'4) Operating Expenses'!P5</f>
        <v>250000</v>
      </c>
      <c r="E42" s="232">
        <f>'4) Operating Expenses'!Q5</f>
        <v>250000</v>
      </c>
      <c r="F42" s="232">
        <f>'4) Operating Expenses'!R5</f>
        <v>250000</v>
      </c>
      <c r="G42" s="232">
        <f>'4) Operating Expenses'!S5</f>
        <v>250000</v>
      </c>
      <c r="H42" s="232">
        <f>'4) Operating Expenses'!T5</f>
        <v>250000</v>
      </c>
      <c r="I42" s="232">
        <f>'4) Operating Expenses'!U5</f>
        <v>250000</v>
      </c>
      <c r="J42" s="232">
        <f>'4) Operating Expenses'!V5</f>
        <v>250000</v>
      </c>
      <c r="K42" s="232">
        <f>'4) Operating Expenses'!W5</f>
        <v>250000</v>
      </c>
      <c r="L42" s="232">
        <f>'4) Operating Expenses'!X5</f>
        <v>250000</v>
      </c>
      <c r="M42" s="232">
        <f>'4) Operating Expenses'!Y5</f>
        <v>250000</v>
      </c>
      <c r="N42" s="232">
        <f>'4) Operating Expenses'!Z5</f>
        <v>250000</v>
      </c>
      <c r="O42" s="232">
        <f>'4) Operating Expenses'!AA5</f>
        <v>500000</v>
      </c>
      <c r="P42" s="232">
        <f>'4) Operating Expenses'!AB5</f>
        <v>500000</v>
      </c>
      <c r="Q42" s="232">
        <f>'4) Operating Expenses'!AC5</f>
        <v>500000</v>
      </c>
      <c r="R42" s="232">
        <f>'4) Operating Expenses'!AD5</f>
        <v>500000</v>
      </c>
      <c r="S42" s="232">
        <f>'4) Operating Expenses'!AE5</f>
        <v>500000</v>
      </c>
      <c r="T42" s="232">
        <f>'4) Operating Expenses'!AF5</f>
        <v>500000</v>
      </c>
      <c r="U42" s="232">
        <f>'4) Operating Expenses'!AG5</f>
        <v>500000</v>
      </c>
      <c r="V42" s="232">
        <f>'4) Operating Expenses'!AH5</f>
        <v>500000</v>
      </c>
      <c r="W42" s="232">
        <f>'4) Operating Expenses'!AI5</f>
        <v>500000</v>
      </c>
      <c r="X42" s="232">
        <f>'4) Operating Expenses'!AJ5</f>
        <v>500000</v>
      </c>
      <c r="Y42" s="232">
        <f>'4) Operating Expenses'!AK5</f>
        <v>500000</v>
      </c>
      <c r="Z42" s="232">
        <f>'4) Operating Expenses'!AL5</f>
        <v>500000</v>
      </c>
      <c r="AA42" s="232">
        <f>'4) Operating Expenses'!AM5</f>
        <v>1000000</v>
      </c>
      <c r="AB42" s="232">
        <f>'4) Operating Expenses'!AN5</f>
        <v>1000000</v>
      </c>
      <c r="AC42" s="232">
        <f>'4) Operating Expenses'!AO5</f>
        <v>1000000</v>
      </c>
      <c r="AD42" s="232">
        <f>'4) Operating Expenses'!AP5</f>
        <v>1000000</v>
      </c>
      <c r="AE42" s="232">
        <f>'4) Operating Expenses'!AQ5</f>
        <v>1000000</v>
      </c>
      <c r="AF42" s="232">
        <f>'4) Operating Expenses'!AR5</f>
        <v>1000000</v>
      </c>
      <c r="AG42" s="232">
        <f>'4) Operating Expenses'!AS5</f>
        <v>1000000</v>
      </c>
      <c r="AH42" s="232">
        <f>'4) Operating Expenses'!AT5</f>
        <v>1000000</v>
      </c>
      <c r="AI42" s="232">
        <f>'4) Operating Expenses'!AU5</f>
        <v>1000000</v>
      </c>
      <c r="AJ42" s="232">
        <f>'4) Operating Expenses'!AV5</f>
        <v>1000000</v>
      </c>
      <c r="AK42" s="232">
        <f>'4) Operating Expenses'!AW5</f>
        <v>1000000</v>
      </c>
      <c r="AL42" s="232">
        <f>'4) Operating Expenses'!AX5</f>
        <v>1000000</v>
      </c>
      <c r="AM42" s="232">
        <f>'4) Operating Expenses'!AY5</f>
        <v>2000000</v>
      </c>
      <c r="AN42" s="232">
        <f>'4) Operating Expenses'!AZ5</f>
        <v>2000000</v>
      </c>
      <c r="AO42" s="232">
        <f>'4) Operating Expenses'!BA5</f>
        <v>2000000</v>
      </c>
      <c r="AP42" s="232">
        <f>'4) Operating Expenses'!BB5</f>
        <v>2000000</v>
      </c>
      <c r="AQ42" s="232">
        <f>'4) Operating Expenses'!BC5</f>
        <v>2000000</v>
      </c>
      <c r="AR42" s="232">
        <f>'4) Operating Expenses'!BD5</f>
        <v>2000000</v>
      </c>
      <c r="AS42" s="232">
        <f>'4) Operating Expenses'!BE5</f>
        <v>2000000</v>
      </c>
      <c r="AT42" s="232">
        <f>'4) Operating Expenses'!BF5</f>
        <v>2000000</v>
      </c>
      <c r="AU42" s="232">
        <f>'4) Operating Expenses'!BG5</f>
        <v>2000000</v>
      </c>
      <c r="AV42" s="232">
        <f>'4) Operating Expenses'!BH5</f>
        <v>2000000</v>
      </c>
      <c r="AW42" s="232">
        <f>'4) Operating Expenses'!BI5</f>
        <v>2000000</v>
      </c>
      <c r="AX42" s="232">
        <f>'4) Operating Expenses'!BJ5</f>
        <v>2000000</v>
      </c>
      <c r="AY42" s="232">
        <f>'4) Operating Expenses'!BK5</f>
        <v>4000000</v>
      </c>
      <c r="AZ42" s="232">
        <f>'4) Operating Expenses'!BL5</f>
        <v>4000000</v>
      </c>
      <c r="BA42" s="232">
        <f>'4) Operating Expenses'!BM5</f>
        <v>4000000</v>
      </c>
      <c r="BB42" s="232">
        <f>'4) Operating Expenses'!BN5</f>
        <v>4000000</v>
      </c>
      <c r="BC42" s="232">
        <f>'4) Operating Expenses'!BO5</f>
        <v>4000000</v>
      </c>
      <c r="BD42" s="232">
        <f>'4) Operating Expenses'!BP5</f>
        <v>4000000</v>
      </c>
      <c r="BE42" s="232">
        <f>'4) Operating Expenses'!BQ5</f>
        <v>4000000</v>
      </c>
      <c r="BF42" s="232">
        <f>'4) Operating Expenses'!BR5</f>
        <v>4000000</v>
      </c>
      <c r="BG42" s="232">
        <f>'4) Operating Expenses'!BS5</f>
        <v>4000000</v>
      </c>
      <c r="BH42" s="232">
        <f>'4) Operating Expenses'!BT5</f>
        <v>4000000</v>
      </c>
      <c r="BI42" s="232">
        <f>'4) Operating Expenses'!BU5</f>
        <v>4000000</v>
      </c>
      <c r="BJ42" s="232">
        <f>'4) Operating Expenses'!BV5</f>
        <v>4000000</v>
      </c>
    </row>
    <row r="43" spans="1:62" s="228" customFormat="1" ht="14" customHeight="1">
      <c r="A43" s="188"/>
      <c r="B43" s="233" t="str">
        <f>'4) Operating Expenses'!I6</f>
        <v>Purchases</v>
      </c>
      <c r="C43" s="232">
        <f>'4) Operating Expenses'!O6</f>
        <v>50000</v>
      </c>
      <c r="D43" s="232">
        <f>'4) Operating Expenses'!P6</f>
        <v>50000</v>
      </c>
      <c r="E43" s="232">
        <f>'4) Operating Expenses'!Q6</f>
        <v>50000</v>
      </c>
      <c r="F43" s="232">
        <f>'4) Operating Expenses'!R6</f>
        <v>50000</v>
      </c>
      <c r="G43" s="232">
        <f>'4) Operating Expenses'!S6</f>
        <v>50000</v>
      </c>
      <c r="H43" s="232">
        <f>'4) Operating Expenses'!T6</f>
        <v>50000</v>
      </c>
      <c r="I43" s="232">
        <f>'4) Operating Expenses'!U6</f>
        <v>50000</v>
      </c>
      <c r="J43" s="232">
        <f>'4) Operating Expenses'!V6</f>
        <v>50000</v>
      </c>
      <c r="K43" s="232">
        <f>'4) Operating Expenses'!W6</f>
        <v>50000</v>
      </c>
      <c r="L43" s="232">
        <f>'4) Operating Expenses'!X6</f>
        <v>50000</v>
      </c>
      <c r="M43" s="232">
        <f>'4) Operating Expenses'!Y6</f>
        <v>50000</v>
      </c>
      <c r="N43" s="232">
        <f>'4) Operating Expenses'!Z6</f>
        <v>50000</v>
      </c>
      <c r="O43" s="232">
        <f>'4) Operating Expenses'!AA6</f>
        <v>87500</v>
      </c>
      <c r="P43" s="232">
        <f>'4) Operating Expenses'!AB6</f>
        <v>87500</v>
      </c>
      <c r="Q43" s="232">
        <f>'4) Operating Expenses'!AC6</f>
        <v>87500</v>
      </c>
      <c r="R43" s="232">
        <f>'4) Operating Expenses'!AD6</f>
        <v>87500</v>
      </c>
      <c r="S43" s="232">
        <f>'4) Operating Expenses'!AE6</f>
        <v>87500</v>
      </c>
      <c r="T43" s="232">
        <f>'4) Operating Expenses'!AF6</f>
        <v>87500</v>
      </c>
      <c r="U43" s="232">
        <f>'4) Operating Expenses'!AG6</f>
        <v>87500</v>
      </c>
      <c r="V43" s="232">
        <f>'4) Operating Expenses'!AH6</f>
        <v>87500</v>
      </c>
      <c r="W43" s="232">
        <f>'4) Operating Expenses'!AI6</f>
        <v>87500</v>
      </c>
      <c r="X43" s="232">
        <f>'4) Operating Expenses'!AJ6</f>
        <v>87500</v>
      </c>
      <c r="Y43" s="232">
        <f>'4) Operating Expenses'!AK6</f>
        <v>87500</v>
      </c>
      <c r="Z43" s="232">
        <f>'4) Operating Expenses'!AL6</f>
        <v>87500</v>
      </c>
      <c r="AA43" s="232">
        <f>'4) Operating Expenses'!AM6</f>
        <v>153125</v>
      </c>
      <c r="AB43" s="232">
        <f>'4) Operating Expenses'!AN6</f>
        <v>153125</v>
      </c>
      <c r="AC43" s="232">
        <f>'4) Operating Expenses'!AO6</f>
        <v>153125</v>
      </c>
      <c r="AD43" s="232">
        <f>'4) Operating Expenses'!AP6</f>
        <v>153125</v>
      </c>
      <c r="AE43" s="232">
        <f>'4) Operating Expenses'!AQ6</f>
        <v>153125</v>
      </c>
      <c r="AF43" s="232">
        <f>'4) Operating Expenses'!AR6</f>
        <v>153125</v>
      </c>
      <c r="AG43" s="232">
        <f>'4) Operating Expenses'!AS6</f>
        <v>153125</v>
      </c>
      <c r="AH43" s="232">
        <f>'4) Operating Expenses'!AT6</f>
        <v>153125</v>
      </c>
      <c r="AI43" s="232">
        <f>'4) Operating Expenses'!AU6</f>
        <v>153125</v>
      </c>
      <c r="AJ43" s="232">
        <f>'4) Operating Expenses'!AV6</f>
        <v>153125</v>
      </c>
      <c r="AK43" s="232">
        <f>'4) Operating Expenses'!AW6</f>
        <v>153125</v>
      </c>
      <c r="AL43" s="232">
        <f>'4) Operating Expenses'!AX6</f>
        <v>153125</v>
      </c>
      <c r="AM43" s="232">
        <f>'4) Operating Expenses'!AY6</f>
        <v>267968.75</v>
      </c>
      <c r="AN43" s="232">
        <f>'4) Operating Expenses'!AZ6</f>
        <v>267968.75</v>
      </c>
      <c r="AO43" s="232">
        <f>'4) Operating Expenses'!BA6</f>
        <v>267968.75</v>
      </c>
      <c r="AP43" s="232">
        <f>'4) Operating Expenses'!BB6</f>
        <v>267968.75</v>
      </c>
      <c r="AQ43" s="232">
        <f>'4) Operating Expenses'!BC6</f>
        <v>267968.75</v>
      </c>
      <c r="AR43" s="232">
        <f>'4) Operating Expenses'!BD6</f>
        <v>267968.75</v>
      </c>
      <c r="AS43" s="232">
        <f>'4) Operating Expenses'!BE6</f>
        <v>267968.75</v>
      </c>
      <c r="AT43" s="232">
        <f>'4) Operating Expenses'!BF6</f>
        <v>267968.75</v>
      </c>
      <c r="AU43" s="232">
        <f>'4) Operating Expenses'!BG6</f>
        <v>267968.75</v>
      </c>
      <c r="AV43" s="232">
        <f>'4) Operating Expenses'!BH6</f>
        <v>267968.75</v>
      </c>
      <c r="AW43" s="232">
        <f>'4) Operating Expenses'!BI6</f>
        <v>267968.75</v>
      </c>
      <c r="AX43" s="232">
        <f>'4) Operating Expenses'!BJ6</f>
        <v>267968.75</v>
      </c>
      <c r="AY43" s="232">
        <f>'4) Operating Expenses'!BK6</f>
        <v>468945.3125</v>
      </c>
      <c r="AZ43" s="232">
        <f>'4) Operating Expenses'!BL6</f>
        <v>468945.3125</v>
      </c>
      <c r="BA43" s="232">
        <f>'4) Operating Expenses'!BM6</f>
        <v>468945.3125</v>
      </c>
      <c r="BB43" s="232">
        <f>'4) Operating Expenses'!BN6</f>
        <v>468945.3125</v>
      </c>
      <c r="BC43" s="232">
        <f>'4) Operating Expenses'!BO6</f>
        <v>468945.3125</v>
      </c>
      <c r="BD43" s="232">
        <f>'4) Operating Expenses'!BP6</f>
        <v>468945.3125</v>
      </c>
      <c r="BE43" s="232">
        <f>'4) Operating Expenses'!BQ6</f>
        <v>468945.3125</v>
      </c>
      <c r="BF43" s="232">
        <f>'4) Operating Expenses'!BR6</f>
        <v>468945.3125</v>
      </c>
      <c r="BG43" s="232">
        <f>'4) Operating Expenses'!BS6</f>
        <v>468945.3125</v>
      </c>
      <c r="BH43" s="232">
        <f>'4) Operating Expenses'!BT6</f>
        <v>468945.3125</v>
      </c>
      <c r="BI43" s="232">
        <f>'4) Operating Expenses'!BU6</f>
        <v>468945.3125</v>
      </c>
      <c r="BJ43" s="232">
        <f>'4) Operating Expenses'!BV6</f>
        <v>468945.3125</v>
      </c>
    </row>
    <row r="44" spans="1:62" s="228" customFormat="1" ht="14">
      <c r="A44" s="188"/>
      <c r="B44" s="233" t="str">
        <f>'4) Operating Expenses'!I7</f>
        <v>Sales &amp; Marketing</v>
      </c>
      <c r="C44" s="232">
        <f>'4) Operating Expenses'!O7</f>
        <v>35000</v>
      </c>
      <c r="D44" s="232">
        <f>'4) Operating Expenses'!P7</f>
        <v>35000</v>
      </c>
      <c r="E44" s="232">
        <f>'4) Operating Expenses'!Q7</f>
        <v>35000</v>
      </c>
      <c r="F44" s="232">
        <f>'4) Operating Expenses'!R7</f>
        <v>35000</v>
      </c>
      <c r="G44" s="232">
        <f>'4) Operating Expenses'!S7</f>
        <v>35000</v>
      </c>
      <c r="H44" s="232">
        <f>'4) Operating Expenses'!T7</f>
        <v>35000</v>
      </c>
      <c r="I44" s="232">
        <f>'4) Operating Expenses'!U7</f>
        <v>35000</v>
      </c>
      <c r="J44" s="232">
        <f>'4) Operating Expenses'!V7</f>
        <v>35000</v>
      </c>
      <c r="K44" s="232">
        <f>'4) Operating Expenses'!W7</f>
        <v>35000</v>
      </c>
      <c r="L44" s="232">
        <f>'4) Operating Expenses'!X7</f>
        <v>35000</v>
      </c>
      <c r="M44" s="232">
        <f>'4) Operating Expenses'!Y7</f>
        <v>35000</v>
      </c>
      <c r="N44" s="232">
        <f>'4) Operating Expenses'!Z7</f>
        <v>35000</v>
      </c>
      <c r="O44" s="232">
        <f>'4) Operating Expenses'!AA7</f>
        <v>70000</v>
      </c>
      <c r="P44" s="232">
        <f>'4) Operating Expenses'!AB7</f>
        <v>70000</v>
      </c>
      <c r="Q44" s="232">
        <f>'4) Operating Expenses'!AC7</f>
        <v>70000</v>
      </c>
      <c r="R44" s="232">
        <f>'4) Operating Expenses'!AD7</f>
        <v>70000</v>
      </c>
      <c r="S44" s="232">
        <f>'4) Operating Expenses'!AE7</f>
        <v>70000</v>
      </c>
      <c r="T44" s="232">
        <f>'4) Operating Expenses'!AF7</f>
        <v>70000</v>
      </c>
      <c r="U44" s="232">
        <f>'4) Operating Expenses'!AG7</f>
        <v>70000</v>
      </c>
      <c r="V44" s="232">
        <f>'4) Operating Expenses'!AH7</f>
        <v>70000</v>
      </c>
      <c r="W44" s="232">
        <f>'4) Operating Expenses'!AI7</f>
        <v>70000</v>
      </c>
      <c r="X44" s="232">
        <f>'4) Operating Expenses'!AJ7</f>
        <v>70000</v>
      </c>
      <c r="Y44" s="232">
        <f>'4) Operating Expenses'!AK7</f>
        <v>70000</v>
      </c>
      <c r="Z44" s="232">
        <f>'4) Operating Expenses'!AL7</f>
        <v>70000</v>
      </c>
      <c r="AA44" s="232">
        <f>'4) Operating Expenses'!AM7</f>
        <v>140000</v>
      </c>
      <c r="AB44" s="232">
        <f>'4) Operating Expenses'!AN7</f>
        <v>140000</v>
      </c>
      <c r="AC44" s="232">
        <f>'4) Operating Expenses'!AO7</f>
        <v>140000</v>
      </c>
      <c r="AD44" s="232">
        <f>'4) Operating Expenses'!AP7</f>
        <v>140000</v>
      </c>
      <c r="AE44" s="232">
        <f>'4) Operating Expenses'!AQ7</f>
        <v>140000</v>
      </c>
      <c r="AF44" s="232">
        <f>'4) Operating Expenses'!AR7</f>
        <v>140000</v>
      </c>
      <c r="AG44" s="232">
        <f>'4) Operating Expenses'!AS7</f>
        <v>140000</v>
      </c>
      <c r="AH44" s="232">
        <f>'4) Operating Expenses'!AT7</f>
        <v>140000</v>
      </c>
      <c r="AI44" s="232">
        <f>'4) Operating Expenses'!AU7</f>
        <v>140000</v>
      </c>
      <c r="AJ44" s="232">
        <f>'4) Operating Expenses'!AV7</f>
        <v>140000</v>
      </c>
      <c r="AK44" s="232">
        <f>'4) Operating Expenses'!AW7</f>
        <v>140000</v>
      </c>
      <c r="AL44" s="232">
        <f>'4) Operating Expenses'!AX7</f>
        <v>140000</v>
      </c>
      <c r="AM44" s="232">
        <f>'4) Operating Expenses'!AY7</f>
        <v>280000</v>
      </c>
      <c r="AN44" s="232">
        <f>'4) Operating Expenses'!AZ7</f>
        <v>280000</v>
      </c>
      <c r="AO44" s="232">
        <f>'4) Operating Expenses'!BA7</f>
        <v>280000</v>
      </c>
      <c r="AP44" s="232">
        <f>'4) Operating Expenses'!BB7</f>
        <v>280000</v>
      </c>
      <c r="AQ44" s="232">
        <f>'4) Operating Expenses'!BC7</f>
        <v>280000</v>
      </c>
      <c r="AR44" s="232">
        <f>'4) Operating Expenses'!BD7</f>
        <v>280000</v>
      </c>
      <c r="AS44" s="232">
        <f>'4) Operating Expenses'!BE7</f>
        <v>280000</v>
      </c>
      <c r="AT44" s="232">
        <f>'4) Operating Expenses'!BF7</f>
        <v>280000</v>
      </c>
      <c r="AU44" s="232">
        <f>'4) Operating Expenses'!BG7</f>
        <v>280000</v>
      </c>
      <c r="AV44" s="232">
        <f>'4) Operating Expenses'!BH7</f>
        <v>280000</v>
      </c>
      <c r="AW44" s="232">
        <f>'4) Operating Expenses'!BI7</f>
        <v>280000</v>
      </c>
      <c r="AX44" s="232">
        <f>'4) Operating Expenses'!BJ7</f>
        <v>280000</v>
      </c>
      <c r="AY44" s="232">
        <f>'4) Operating Expenses'!BK7</f>
        <v>560000</v>
      </c>
      <c r="AZ44" s="232">
        <f>'4) Operating Expenses'!BL7</f>
        <v>560000</v>
      </c>
      <c r="BA44" s="232">
        <f>'4) Operating Expenses'!BM7</f>
        <v>560000</v>
      </c>
      <c r="BB44" s="232">
        <f>'4) Operating Expenses'!BN7</f>
        <v>560000</v>
      </c>
      <c r="BC44" s="232">
        <f>'4) Operating Expenses'!BO7</f>
        <v>560000</v>
      </c>
      <c r="BD44" s="232">
        <f>'4) Operating Expenses'!BP7</f>
        <v>560000</v>
      </c>
      <c r="BE44" s="232">
        <f>'4) Operating Expenses'!BQ7</f>
        <v>560000</v>
      </c>
      <c r="BF44" s="232">
        <f>'4) Operating Expenses'!BR7</f>
        <v>560000</v>
      </c>
      <c r="BG44" s="232">
        <f>'4) Operating Expenses'!BS7</f>
        <v>560000</v>
      </c>
      <c r="BH44" s="232">
        <f>'4) Operating Expenses'!BT7</f>
        <v>560000</v>
      </c>
      <c r="BI44" s="232">
        <f>'4) Operating Expenses'!BU7</f>
        <v>560000</v>
      </c>
      <c r="BJ44" s="232">
        <f>'4) Operating Expenses'!BV7</f>
        <v>560000</v>
      </c>
    </row>
    <row r="45" spans="1:62" s="228" customFormat="1" ht="14" customHeight="1">
      <c r="A45" s="188"/>
      <c r="B45" s="233" t="str">
        <f>'4) Operating Expenses'!I8</f>
        <v>Rent</v>
      </c>
      <c r="C45" s="232">
        <f>'4) Operating Expenses'!O8</f>
        <v>7500</v>
      </c>
      <c r="D45" s="232">
        <f>'4) Operating Expenses'!P8</f>
        <v>7500</v>
      </c>
      <c r="E45" s="232">
        <f>'4) Operating Expenses'!Q8</f>
        <v>7500</v>
      </c>
      <c r="F45" s="232">
        <f>'4) Operating Expenses'!R8</f>
        <v>7500</v>
      </c>
      <c r="G45" s="232">
        <f>'4) Operating Expenses'!S8</f>
        <v>7500</v>
      </c>
      <c r="H45" s="232">
        <f>'4) Operating Expenses'!T8</f>
        <v>7500</v>
      </c>
      <c r="I45" s="232">
        <f>'4) Operating Expenses'!U8</f>
        <v>7500</v>
      </c>
      <c r="J45" s="232">
        <f>'4) Operating Expenses'!V8</f>
        <v>7500</v>
      </c>
      <c r="K45" s="232">
        <f>'4) Operating Expenses'!W8</f>
        <v>7500</v>
      </c>
      <c r="L45" s="232">
        <f>'4) Operating Expenses'!X8</f>
        <v>7500</v>
      </c>
      <c r="M45" s="232">
        <f>'4) Operating Expenses'!Y8</f>
        <v>7500</v>
      </c>
      <c r="N45" s="232">
        <f>'4) Operating Expenses'!Z8</f>
        <v>7500</v>
      </c>
      <c r="O45" s="232">
        <f>'4) Operating Expenses'!AA8</f>
        <v>9375</v>
      </c>
      <c r="P45" s="232">
        <f>'4) Operating Expenses'!AB8</f>
        <v>9375</v>
      </c>
      <c r="Q45" s="232">
        <f>'4) Operating Expenses'!AC8</f>
        <v>9375</v>
      </c>
      <c r="R45" s="232">
        <f>'4) Operating Expenses'!AD8</f>
        <v>9375</v>
      </c>
      <c r="S45" s="232">
        <f>'4) Operating Expenses'!AE8</f>
        <v>9375</v>
      </c>
      <c r="T45" s="232">
        <f>'4) Operating Expenses'!AF8</f>
        <v>9375</v>
      </c>
      <c r="U45" s="232">
        <f>'4) Operating Expenses'!AG8</f>
        <v>9375</v>
      </c>
      <c r="V45" s="232">
        <f>'4) Operating Expenses'!AH8</f>
        <v>9375</v>
      </c>
      <c r="W45" s="232">
        <f>'4) Operating Expenses'!AI8</f>
        <v>9375</v>
      </c>
      <c r="X45" s="232">
        <f>'4) Operating Expenses'!AJ8</f>
        <v>9375</v>
      </c>
      <c r="Y45" s="232">
        <f>'4) Operating Expenses'!AK8</f>
        <v>9375</v>
      </c>
      <c r="Z45" s="232">
        <f>'4) Operating Expenses'!AL8</f>
        <v>9375</v>
      </c>
      <c r="AA45" s="232">
        <f>'4) Operating Expenses'!AM8</f>
        <v>11718.75</v>
      </c>
      <c r="AB45" s="232">
        <f>'4) Operating Expenses'!AN8</f>
        <v>11718.75</v>
      </c>
      <c r="AC45" s="232">
        <f>'4) Operating Expenses'!AO8</f>
        <v>11718.75</v>
      </c>
      <c r="AD45" s="232">
        <f>'4) Operating Expenses'!AP8</f>
        <v>11718.75</v>
      </c>
      <c r="AE45" s="232">
        <f>'4) Operating Expenses'!AQ8</f>
        <v>11718.75</v>
      </c>
      <c r="AF45" s="232">
        <f>'4) Operating Expenses'!AR8</f>
        <v>11718.75</v>
      </c>
      <c r="AG45" s="232">
        <f>'4) Operating Expenses'!AS8</f>
        <v>11718.75</v>
      </c>
      <c r="AH45" s="232">
        <f>'4) Operating Expenses'!AT8</f>
        <v>11718.75</v>
      </c>
      <c r="AI45" s="232">
        <f>'4) Operating Expenses'!AU8</f>
        <v>11718.75</v>
      </c>
      <c r="AJ45" s="232">
        <f>'4) Operating Expenses'!AV8</f>
        <v>11718.75</v>
      </c>
      <c r="AK45" s="232">
        <f>'4) Operating Expenses'!AW8</f>
        <v>11718.75</v>
      </c>
      <c r="AL45" s="232">
        <f>'4) Operating Expenses'!AX8</f>
        <v>11718.75</v>
      </c>
      <c r="AM45" s="232">
        <f>'4) Operating Expenses'!AY8</f>
        <v>14648.4375</v>
      </c>
      <c r="AN45" s="232">
        <f>'4) Operating Expenses'!AZ8</f>
        <v>14648.4375</v>
      </c>
      <c r="AO45" s="232">
        <f>'4) Operating Expenses'!BA8</f>
        <v>14648.4375</v>
      </c>
      <c r="AP45" s="232">
        <f>'4) Operating Expenses'!BB8</f>
        <v>14648.4375</v>
      </c>
      <c r="AQ45" s="232">
        <f>'4) Operating Expenses'!BC8</f>
        <v>14648.4375</v>
      </c>
      <c r="AR45" s="232">
        <f>'4) Operating Expenses'!BD8</f>
        <v>14648.4375</v>
      </c>
      <c r="AS45" s="232">
        <f>'4) Operating Expenses'!BE8</f>
        <v>14648.4375</v>
      </c>
      <c r="AT45" s="232">
        <f>'4) Operating Expenses'!BF8</f>
        <v>14648.4375</v>
      </c>
      <c r="AU45" s="232">
        <f>'4) Operating Expenses'!BG8</f>
        <v>14648.4375</v>
      </c>
      <c r="AV45" s="232">
        <f>'4) Operating Expenses'!BH8</f>
        <v>14648.4375</v>
      </c>
      <c r="AW45" s="232">
        <f>'4) Operating Expenses'!BI8</f>
        <v>14648.4375</v>
      </c>
      <c r="AX45" s="232">
        <f>'4) Operating Expenses'!BJ8</f>
        <v>14648.4375</v>
      </c>
      <c r="AY45" s="232">
        <f>'4) Operating Expenses'!BK8</f>
        <v>18310.546875</v>
      </c>
      <c r="AZ45" s="232">
        <f>'4) Operating Expenses'!BL8</f>
        <v>18310.546875</v>
      </c>
      <c r="BA45" s="232">
        <f>'4) Operating Expenses'!BM8</f>
        <v>18310.546875</v>
      </c>
      <c r="BB45" s="232">
        <f>'4) Operating Expenses'!BN8</f>
        <v>18310.546875</v>
      </c>
      <c r="BC45" s="232">
        <f>'4) Operating Expenses'!BO8</f>
        <v>18310.546875</v>
      </c>
      <c r="BD45" s="232">
        <f>'4) Operating Expenses'!BP8</f>
        <v>18310.546875</v>
      </c>
      <c r="BE45" s="232">
        <f>'4) Operating Expenses'!BQ8</f>
        <v>18310.546875</v>
      </c>
      <c r="BF45" s="232">
        <f>'4) Operating Expenses'!BR8</f>
        <v>18310.546875</v>
      </c>
      <c r="BG45" s="232">
        <f>'4) Operating Expenses'!BS8</f>
        <v>18310.546875</v>
      </c>
      <c r="BH45" s="232">
        <f>'4) Operating Expenses'!BT8</f>
        <v>18310.546875</v>
      </c>
      <c r="BI45" s="232">
        <f>'4) Operating Expenses'!BU8</f>
        <v>18310.546875</v>
      </c>
      <c r="BJ45" s="232">
        <f>'4) Operating Expenses'!BV8</f>
        <v>18310.546875</v>
      </c>
    </row>
    <row r="46" spans="1:62" s="228" customFormat="1" ht="14" customHeight="1">
      <c r="A46" s="188"/>
      <c r="B46" s="233" t="str">
        <f>'4) Operating Expenses'!I9</f>
        <v>Other SG&amp;A</v>
      </c>
      <c r="C46" s="232">
        <f>'4) Operating Expenses'!O9</f>
        <v>175000</v>
      </c>
      <c r="D46" s="232">
        <f>'4) Operating Expenses'!P9</f>
        <v>175000</v>
      </c>
      <c r="E46" s="232">
        <f>'4) Operating Expenses'!Q9</f>
        <v>175000</v>
      </c>
      <c r="F46" s="232">
        <f>'4) Operating Expenses'!R9</f>
        <v>175000</v>
      </c>
      <c r="G46" s="232">
        <f>'4) Operating Expenses'!S9</f>
        <v>175000</v>
      </c>
      <c r="H46" s="232">
        <f>'4) Operating Expenses'!T9</f>
        <v>175000</v>
      </c>
      <c r="I46" s="232">
        <f>'4) Operating Expenses'!U9</f>
        <v>175000</v>
      </c>
      <c r="J46" s="232">
        <f>'4) Operating Expenses'!V9</f>
        <v>175000</v>
      </c>
      <c r="K46" s="232">
        <f>'4) Operating Expenses'!W9</f>
        <v>175000</v>
      </c>
      <c r="L46" s="232">
        <f>'4) Operating Expenses'!X9</f>
        <v>175000</v>
      </c>
      <c r="M46" s="232">
        <f>'4) Operating Expenses'!Y9</f>
        <v>175000</v>
      </c>
      <c r="N46" s="232">
        <f>'4) Operating Expenses'!Z9</f>
        <v>175000</v>
      </c>
      <c r="O46" s="232">
        <f>'4) Operating Expenses'!AA9</f>
        <v>218750</v>
      </c>
      <c r="P46" s="232">
        <f>'4) Operating Expenses'!AB9</f>
        <v>218750</v>
      </c>
      <c r="Q46" s="232">
        <f>'4) Operating Expenses'!AC9</f>
        <v>218750</v>
      </c>
      <c r="R46" s="232">
        <f>'4) Operating Expenses'!AD9</f>
        <v>218750</v>
      </c>
      <c r="S46" s="232">
        <f>'4) Operating Expenses'!AE9</f>
        <v>218750</v>
      </c>
      <c r="T46" s="232">
        <f>'4) Operating Expenses'!AF9</f>
        <v>218750</v>
      </c>
      <c r="U46" s="232">
        <f>'4) Operating Expenses'!AG9</f>
        <v>218750</v>
      </c>
      <c r="V46" s="232">
        <f>'4) Operating Expenses'!AH9</f>
        <v>218750</v>
      </c>
      <c r="W46" s="232">
        <f>'4) Operating Expenses'!AI9</f>
        <v>218750</v>
      </c>
      <c r="X46" s="232">
        <f>'4) Operating Expenses'!AJ9</f>
        <v>218750</v>
      </c>
      <c r="Y46" s="232">
        <f>'4) Operating Expenses'!AK9</f>
        <v>218750</v>
      </c>
      <c r="Z46" s="232">
        <f>'4) Operating Expenses'!AL9</f>
        <v>218750</v>
      </c>
      <c r="AA46" s="232">
        <f>'4) Operating Expenses'!AM9</f>
        <v>273437.5</v>
      </c>
      <c r="AB46" s="232">
        <f>'4) Operating Expenses'!AN9</f>
        <v>273437.5</v>
      </c>
      <c r="AC46" s="232">
        <f>'4) Operating Expenses'!AO9</f>
        <v>273437.5</v>
      </c>
      <c r="AD46" s="232">
        <f>'4) Operating Expenses'!AP9</f>
        <v>273437.5</v>
      </c>
      <c r="AE46" s="232">
        <f>'4) Operating Expenses'!AQ9</f>
        <v>273437.5</v>
      </c>
      <c r="AF46" s="232">
        <f>'4) Operating Expenses'!AR9</f>
        <v>273437.5</v>
      </c>
      <c r="AG46" s="232">
        <f>'4) Operating Expenses'!AS9</f>
        <v>273437.5</v>
      </c>
      <c r="AH46" s="232">
        <f>'4) Operating Expenses'!AT9</f>
        <v>273437.5</v>
      </c>
      <c r="AI46" s="232">
        <f>'4) Operating Expenses'!AU9</f>
        <v>273437.5</v>
      </c>
      <c r="AJ46" s="232">
        <f>'4) Operating Expenses'!AV9</f>
        <v>273437.5</v>
      </c>
      <c r="AK46" s="232">
        <f>'4) Operating Expenses'!AW9</f>
        <v>273437.5</v>
      </c>
      <c r="AL46" s="232">
        <f>'4) Operating Expenses'!AX9</f>
        <v>273437.5</v>
      </c>
      <c r="AM46" s="232">
        <f>'4) Operating Expenses'!AY9</f>
        <v>341796.875</v>
      </c>
      <c r="AN46" s="232">
        <f>'4) Operating Expenses'!AZ9</f>
        <v>341796.875</v>
      </c>
      <c r="AO46" s="232">
        <f>'4) Operating Expenses'!BA9</f>
        <v>341796.875</v>
      </c>
      <c r="AP46" s="232">
        <f>'4) Operating Expenses'!BB9</f>
        <v>341796.875</v>
      </c>
      <c r="AQ46" s="232">
        <f>'4) Operating Expenses'!BC9</f>
        <v>341796.875</v>
      </c>
      <c r="AR46" s="232">
        <f>'4) Operating Expenses'!BD9</f>
        <v>341796.875</v>
      </c>
      <c r="AS46" s="232">
        <f>'4) Operating Expenses'!BE9</f>
        <v>341796.875</v>
      </c>
      <c r="AT46" s="232">
        <f>'4) Operating Expenses'!BF9</f>
        <v>341796.875</v>
      </c>
      <c r="AU46" s="232">
        <f>'4) Operating Expenses'!BG9</f>
        <v>341796.875</v>
      </c>
      <c r="AV46" s="232">
        <f>'4) Operating Expenses'!BH9</f>
        <v>341796.875</v>
      </c>
      <c r="AW46" s="232">
        <f>'4) Operating Expenses'!BI9</f>
        <v>341796.875</v>
      </c>
      <c r="AX46" s="232">
        <f>'4) Operating Expenses'!BJ9</f>
        <v>341796.875</v>
      </c>
      <c r="AY46" s="232">
        <f>'4) Operating Expenses'!BK9</f>
        <v>427246.09375</v>
      </c>
      <c r="AZ46" s="232">
        <f>'4) Operating Expenses'!BL9</f>
        <v>427246.09375</v>
      </c>
      <c r="BA46" s="232">
        <f>'4) Operating Expenses'!BM9</f>
        <v>427246.09375</v>
      </c>
      <c r="BB46" s="232">
        <f>'4) Operating Expenses'!BN9</f>
        <v>427246.09375</v>
      </c>
      <c r="BC46" s="232">
        <f>'4) Operating Expenses'!BO9</f>
        <v>427246.09375</v>
      </c>
      <c r="BD46" s="232">
        <f>'4) Operating Expenses'!BP9</f>
        <v>427246.09375</v>
      </c>
      <c r="BE46" s="232">
        <f>'4) Operating Expenses'!BQ9</f>
        <v>427246.09375</v>
      </c>
      <c r="BF46" s="232">
        <f>'4) Operating Expenses'!BR9</f>
        <v>427246.09375</v>
      </c>
      <c r="BG46" s="232">
        <f>'4) Operating Expenses'!BS9</f>
        <v>427246.09375</v>
      </c>
      <c r="BH46" s="232">
        <f>'4) Operating Expenses'!BT9</f>
        <v>427246.09375</v>
      </c>
      <c r="BI46" s="232">
        <f>'4) Operating Expenses'!BU9</f>
        <v>427246.09375</v>
      </c>
      <c r="BJ46" s="232">
        <f>'4) Operating Expenses'!BV9</f>
        <v>427246.09375</v>
      </c>
    </row>
    <row r="47" spans="1:62" s="228" customFormat="1" ht="14" hidden="1" customHeight="1">
      <c r="A47" s="188"/>
      <c r="B47" s="233">
        <f>'4) Operating Expenses'!I10</f>
        <v>0</v>
      </c>
      <c r="C47" s="232">
        <f>'4) Operating Expenses'!O10</f>
        <v>0</v>
      </c>
      <c r="D47" s="232">
        <f>'4) Operating Expenses'!P10</f>
        <v>0</v>
      </c>
      <c r="E47" s="232">
        <f>'4) Operating Expenses'!Q10</f>
        <v>0</v>
      </c>
      <c r="F47" s="232">
        <f>'4) Operating Expenses'!R10</f>
        <v>0</v>
      </c>
      <c r="G47" s="232">
        <f>'4) Operating Expenses'!S10</f>
        <v>0</v>
      </c>
      <c r="H47" s="232">
        <f>'4) Operating Expenses'!T10</f>
        <v>0</v>
      </c>
      <c r="I47" s="232">
        <f>'4) Operating Expenses'!U10</f>
        <v>0</v>
      </c>
      <c r="J47" s="232">
        <f>'4) Operating Expenses'!V10</f>
        <v>0</v>
      </c>
      <c r="K47" s="232">
        <f>'4) Operating Expenses'!W10</f>
        <v>0</v>
      </c>
      <c r="L47" s="232">
        <f>'4) Operating Expenses'!X10</f>
        <v>0</v>
      </c>
      <c r="M47" s="232">
        <f>'4) Operating Expenses'!Y10</f>
        <v>0</v>
      </c>
      <c r="N47" s="232">
        <f>'4) Operating Expenses'!Z10</f>
        <v>0</v>
      </c>
      <c r="O47" s="232">
        <f>'4) Operating Expenses'!AA10</f>
        <v>0</v>
      </c>
      <c r="P47" s="232">
        <f>'4) Operating Expenses'!AB10</f>
        <v>0</v>
      </c>
      <c r="Q47" s="232">
        <f>'4) Operating Expenses'!AC10</f>
        <v>0</v>
      </c>
      <c r="R47" s="232">
        <f>'4) Operating Expenses'!AD10</f>
        <v>0</v>
      </c>
      <c r="S47" s="232">
        <f>'4) Operating Expenses'!AE10</f>
        <v>0</v>
      </c>
      <c r="T47" s="232">
        <f>'4) Operating Expenses'!AF10</f>
        <v>0</v>
      </c>
      <c r="U47" s="232">
        <f>'4) Operating Expenses'!AG10</f>
        <v>0</v>
      </c>
      <c r="V47" s="232">
        <f>'4) Operating Expenses'!AH10</f>
        <v>0</v>
      </c>
      <c r="W47" s="232">
        <f>'4) Operating Expenses'!AI10</f>
        <v>0</v>
      </c>
      <c r="X47" s="232">
        <f>'4) Operating Expenses'!AJ10</f>
        <v>0</v>
      </c>
      <c r="Y47" s="232">
        <f>'4) Operating Expenses'!AK10</f>
        <v>0</v>
      </c>
      <c r="Z47" s="232">
        <f>'4) Operating Expenses'!AL10</f>
        <v>0</v>
      </c>
      <c r="AA47" s="232">
        <f>'4) Operating Expenses'!AM10</f>
        <v>0</v>
      </c>
      <c r="AB47" s="232">
        <f>'4) Operating Expenses'!AN10</f>
        <v>0</v>
      </c>
      <c r="AC47" s="232">
        <f>'4) Operating Expenses'!AO10</f>
        <v>0</v>
      </c>
      <c r="AD47" s="232">
        <f>'4) Operating Expenses'!AP10</f>
        <v>0</v>
      </c>
      <c r="AE47" s="232">
        <f>'4) Operating Expenses'!AQ10</f>
        <v>0</v>
      </c>
      <c r="AF47" s="232">
        <f>'4) Operating Expenses'!AR10</f>
        <v>0</v>
      </c>
      <c r="AG47" s="232">
        <f>'4) Operating Expenses'!AS10</f>
        <v>0</v>
      </c>
      <c r="AH47" s="232">
        <f>'4) Operating Expenses'!AT10</f>
        <v>0</v>
      </c>
      <c r="AI47" s="232">
        <f>'4) Operating Expenses'!AU10</f>
        <v>0</v>
      </c>
      <c r="AJ47" s="232">
        <f>'4) Operating Expenses'!AV10</f>
        <v>0</v>
      </c>
      <c r="AK47" s="232">
        <f>'4) Operating Expenses'!AW10</f>
        <v>0</v>
      </c>
      <c r="AL47" s="232">
        <f>'4) Operating Expenses'!AX10</f>
        <v>0</v>
      </c>
      <c r="AM47" s="232">
        <f>'4) Operating Expenses'!AY10</f>
        <v>0</v>
      </c>
      <c r="AN47" s="232">
        <f>'4) Operating Expenses'!AZ10</f>
        <v>0</v>
      </c>
      <c r="AO47" s="232">
        <f>'4) Operating Expenses'!BA10</f>
        <v>0</v>
      </c>
      <c r="AP47" s="232">
        <f>'4) Operating Expenses'!BB10</f>
        <v>0</v>
      </c>
      <c r="AQ47" s="232">
        <f>'4) Operating Expenses'!BC10</f>
        <v>0</v>
      </c>
      <c r="AR47" s="232">
        <f>'4) Operating Expenses'!BD10</f>
        <v>0</v>
      </c>
      <c r="AS47" s="232">
        <f>'4) Operating Expenses'!BE10</f>
        <v>0</v>
      </c>
      <c r="AT47" s="232">
        <f>'4) Operating Expenses'!BF10</f>
        <v>0</v>
      </c>
      <c r="AU47" s="232">
        <f>'4) Operating Expenses'!BG10</f>
        <v>0</v>
      </c>
      <c r="AV47" s="232">
        <f>'4) Operating Expenses'!BH10</f>
        <v>0</v>
      </c>
      <c r="AW47" s="232">
        <f>'4) Operating Expenses'!BI10</f>
        <v>0</v>
      </c>
      <c r="AX47" s="232">
        <f>'4) Operating Expenses'!BJ10</f>
        <v>0</v>
      </c>
      <c r="AY47" s="232">
        <f>'4) Operating Expenses'!BK10</f>
        <v>0</v>
      </c>
      <c r="AZ47" s="232">
        <f>'4) Operating Expenses'!BL10</f>
        <v>0</v>
      </c>
      <c r="BA47" s="232">
        <f>'4) Operating Expenses'!BM10</f>
        <v>0</v>
      </c>
      <c r="BB47" s="232">
        <f>'4) Operating Expenses'!BN10</f>
        <v>0</v>
      </c>
      <c r="BC47" s="232">
        <f>'4) Operating Expenses'!BO10</f>
        <v>0</v>
      </c>
      <c r="BD47" s="232">
        <f>'4) Operating Expenses'!BP10</f>
        <v>0</v>
      </c>
      <c r="BE47" s="232">
        <f>'4) Operating Expenses'!BQ10</f>
        <v>0</v>
      </c>
      <c r="BF47" s="232">
        <f>'4) Operating Expenses'!BR10</f>
        <v>0</v>
      </c>
      <c r="BG47" s="232">
        <f>'4) Operating Expenses'!BS10</f>
        <v>0</v>
      </c>
      <c r="BH47" s="232">
        <f>'4) Operating Expenses'!BT10</f>
        <v>0</v>
      </c>
      <c r="BI47" s="232">
        <f>'4) Operating Expenses'!BU10</f>
        <v>0</v>
      </c>
      <c r="BJ47" s="232">
        <f>'4) Operating Expenses'!BV10</f>
        <v>0</v>
      </c>
    </row>
    <row r="48" spans="1:62" s="228" customFormat="1" ht="14" hidden="1" customHeight="1">
      <c r="A48" s="188"/>
      <c r="B48" s="233">
        <f>'4) Operating Expenses'!I11</f>
        <v>0</v>
      </c>
      <c r="C48" s="232">
        <f>'4) Operating Expenses'!O11</f>
        <v>0</v>
      </c>
      <c r="D48" s="232">
        <f>'4) Operating Expenses'!P11</f>
        <v>0</v>
      </c>
      <c r="E48" s="232">
        <f>'4) Operating Expenses'!Q11</f>
        <v>0</v>
      </c>
      <c r="F48" s="232">
        <f>'4) Operating Expenses'!R11</f>
        <v>0</v>
      </c>
      <c r="G48" s="232">
        <f>'4) Operating Expenses'!S11</f>
        <v>0</v>
      </c>
      <c r="H48" s="232">
        <f>'4) Operating Expenses'!T11</f>
        <v>0</v>
      </c>
      <c r="I48" s="232">
        <f>'4) Operating Expenses'!U11</f>
        <v>0</v>
      </c>
      <c r="J48" s="232">
        <f>'4) Operating Expenses'!V11</f>
        <v>0</v>
      </c>
      <c r="K48" s="232">
        <f>'4) Operating Expenses'!W11</f>
        <v>0</v>
      </c>
      <c r="L48" s="232">
        <f>'4) Operating Expenses'!X11</f>
        <v>0</v>
      </c>
      <c r="M48" s="232">
        <f>'4) Operating Expenses'!Y11</f>
        <v>0</v>
      </c>
      <c r="N48" s="232">
        <f>'4) Operating Expenses'!Z11</f>
        <v>0</v>
      </c>
      <c r="O48" s="232">
        <f>'4) Operating Expenses'!AA11</f>
        <v>0</v>
      </c>
      <c r="P48" s="232">
        <f>'4) Operating Expenses'!AB11</f>
        <v>0</v>
      </c>
      <c r="Q48" s="232">
        <f>'4) Operating Expenses'!AC11</f>
        <v>0</v>
      </c>
      <c r="R48" s="232">
        <f>'4) Operating Expenses'!AD11</f>
        <v>0</v>
      </c>
      <c r="S48" s="232">
        <f>'4) Operating Expenses'!AE11</f>
        <v>0</v>
      </c>
      <c r="T48" s="232">
        <f>'4) Operating Expenses'!AF11</f>
        <v>0</v>
      </c>
      <c r="U48" s="232">
        <f>'4) Operating Expenses'!AG11</f>
        <v>0</v>
      </c>
      <c r="V48" s="232">
        <f>'4) Operating Expenses'!AH11</f>
        <v>0</v>
      </c>
      <c r="W48" s="232">
        <f>'4) Operating Expenses'!AI11</f>
        <v>0</v>
      </c>
      <c r="X48" s="232">
        <f>'4) Operating Expenses'!AJ11</f>
        <v>0</v>
      </c>
      <c r="Y48" s="232">
        <f>'4) Operating Expenses'!AK11</f>
        <v>0</v>
      </c>
      <c r="Z48" s="232">
        <f>'4) Operating Expenses'!AL11</f>
        <v>0</v>
      </c>
      <c r="AA48" s="232">
        <f>'4) Operating Expenses'!AM11</f>
        <v>0</v>
      </c>
      <c r="AB48" s="232">
        <f>'4) Operating Expenses'!AN11</f>
        <v>0</v>
      </c>
      <c r="AC48" s="232">
        <f>'4) Operating Expenses'!AO11</f>
        <v>0</v>
      </c>
      <c r="AD48" s="232">
        <f>'4) Operating Expenses'!AP11</f>
        <v>0</v>
      </c>
      <c r="AE48" s="232">
        <f>'4) Operating Expenses'!AQ11</f>
        <v>0</v>
      </c>
      <c r="AF48" s="232">
        <f>'4) Operating Expenses'!AR11</f>
        <v>0</v>
      </c>
      <c r="AG48" s="232">
        <f>'4) Operating Expenses'!AS11</f>
        <v>0</v>
      </c>
      <c r="AH48" s="232">
        <f>'4) Operating Expenses'!AT11</f>
        <v>0</v>
      </c>
      <c r="AI48" s="232">
        <f>'4) Operating Expenses'!AU11</f>
        <v>0</v>
      </c>
      <c r="AJ48" s="232">
        <f>'4) Operating Expenses'!AV11</f>
        <v>0</v>
      </c>
      <c r="AK48" s="232">
        <f>'4) Operating Expenses'!AW11</f>
        <v>0</v>
      </c>
      <c r="AL48" s="232">
        <f>'4) Operating Expenses'!AX11</f>
        <v>0</v>
      </c>
      <c r="AM48" s="232">
        <f>'4) Operating Expenses'!AY11</f>
        <v>0</v>
      </c>
      <c r="AN48" s="232">
        <f>'4) Operating Expenses'!AZ11</f>
        <v>0</v>
      </c>
      <c r="AO48" s="232">
        <f>'4) Operating Expenses'!BA11</f>
        <v>0</v>
      </c>
      <c r="AP48" s="232">
        <f>'4) Operating Expenses'!BB11</f>
        <v>0</v>
      </c>
      <c r="AQ48" s="232">
        <f>'4) Operating Expenses'!BC11</f>
        <v>0</v>
      </c>
      <c r="AR48" s="232">
        <f>'4) Operating Expenses'!BD11</f>
        <v>0</v>
      </c>
      <c r="AS48" s="232">
        <f>'4) Operating Expenses'!BE11</f>
        <v>0</v>
      </c>
      <c r="AT48" s="232">
        <f>'4) Operating Expenses'!BF11</f>
        <v>0</v>
      </c>
      <c r="AU48" s="232">
        <f>'4) Operating Expenses'!BG11</f>
        <v>0</v>
      </c>
      <c r="AV48" s="232">
        <f>'4) Operating Expenses'!BH11</f>
        <v>0</v>
      </c>
      <c r="AW48" s="232">
        <f>'4) Operating Expenses'!BI11</f>
        <v>0</v>
      </c>
      <c r="AX48" s="232">
        <f>'4) Operating Expenses'!BJ11</f>
        <v>0</v>
      </c>
      <c r="AY48" s="232">
        <f>'4) Operating Expenses'!BK11</f>
        <v>0</v>
      </c>
      <c r="AZ48" s="232">
        <f>'4) Operating Expenses'!BL11</f>
        <v>0</v>
      </c>
      <c r="BA48" s="232">
        <f>'4) Operating Expenses'!BM11</f>
        <v>0</v>
      </c>
      <c r="BB48" s="232">
        <f>'4) Operating Expenses'!BN11</f>
        <v>0</v>
      </c>
      <c r="BC48" s="232">
        <f>'4) Operating Expenses'!BO11</f>
        <v>0</v>
      </c>
      <c r="BD48" s="232">
        <f>'4) Operating Expenses'!BP11</f>
        <v>0</v>
      </c>
      <c r="BE48" s="232">
        <f>'4) Operating Expenses'!BQ11</f>
        <v>0</v>
      </c>
      <c r="BF48" s="232">
        <f>'4) Operating Expenses'!BR11</f>
        <v>0</v>
      </c>
      <c r="BG48" s="232">
        <f>'4) Operating Expenses'!BS11</f>
        <v>0</v>
      </c>
      <c r="BH48" s="232">
        <f>'4) Operating Expenses'!BT11</f>
        <v>0</v>
      </c>
      <c r="BI48" s="232">
        <f>'4) Operating Expenses'!BU11</f>
        <v>0</v>
      </c>
      <c r="BJ48" s="232">
        <f>'4) Operating Expenses'!BV11</f>
        <v>0</v>
      </c>
    </row>
    <row r="49" spans="1:62" s="228" customFormat="1" ht="14" hidden="1" customHeight="1">
      <c r="A49" s="188"/>
      <c r="B49" s="233">
        <f>'4) Operating Expenses'!I12</f>
        <v>0</v>
      </c>
      <c r="C49" s="232">
        <f>'4) Operating Expenses'!O12</f>
        <v>0</v>
      </c>
      <c r="D49" s="232">
        <f>'4) Operating Expenses'!P12</f>
        <v>0</v>
      </c>
      <c r="E49" s="232">
        <f>'4) Operating Expenses'!Q12</f>
        <v>0</v>
      </c>
      <c r="F49" s="232">
        <f>'4) Operating Expenses'!R12</f>
        <v>0</v>
      </c>
      <c r="G49" s="232">
        <f>'4) Operating Expenses'!S12</f>
        <v>0</v>
      </c>
      <c r="H49" s="232">
        <f>'4) Operating Expenses'!T12</f>
        <v>0</v>
      </c>
      <c r="I49" s="232">
        <f>'4) Operating Expenses'!U12</f>
        <v>0</v>
      </c>
      <c r="J49" s="232">
        <f>'4) Operating Expenses'!V12</f>
        <v>0</v>
      </c>
      <c r="K49" s="232">
        <f>'4) Operating Expenses'!W12</f>
        <v>0</v>
      </c>
      <c r="L49" s="232">
        <f>'4) Operating Expenses'!X12</f>
        <v>0</v>
      </c>
      <c r="M49" s="232">
        <f>'4) Operating Expenses'!Y12</f>
        <v>0</v>
      </c>
      <c r="N49" s="232">
        <f>'4) Operating Expenses'!Z12</f>
        <v>0</v>
      </c>
      <c r="O49" s="232">
        <f>'4) Operating Expenses'!AA12</f>
        <v>0</v>
      </c>
      <c r="P49" s="232">
        <f>'4) Operating Expenses'!AB12</f>
        <v>0</v>
      </c>
      <c r="Q49" s="232">
        <f>'4) Operating Expenses'!AC12</f>
        <v>0</v>
      </c>
      <c r="R49" s="232">
        <f>'4) Operating Expenses'!AD12</f>
        <v>0</v>
      </c>
      <c r="S49" s="232">
        <f>'4) Operating Expenses'!AE12</f>
        <v>0</v>
      </c>
      <c r="T49" s="232">
        <f>'4) Operating Expenses'!AF12</f>
        <v>0</v>
      </c>
      <c r="U49" s="232">
        <f>'4) Operating Expenses'!AG12</f>
        <v>0</v>
      </c>
      <c r="V49" s="232">
        <f>'4) Operating Expenses'!AH12</f>
        <v>0</v>
      </c>
      <c r="W49" s="232">
        <f>'4) Operating Expenses'!AI12</f>
        <v>0</v>
      </c>
      <c r="X49" s="232">
        <f>'4) Operating Expenses'!AJ12</f>
        <v>0</v>
      </c>
      <c r="Y49" s="232">
        <f>'4) Operating Expenses'!AK12</f>
        <v>0</v>
      </c>
      <c r="Z49" s="232">
        <f>'4) Operating Expenses'!AL12</f>
        <v>0</v>
      </c>
      <c r="AA49" s="232">
        <f>'4) Operating Expenses'!AM12</f>
        <v>0</v>
      </c>
      <c r="AB49" s="232">
        <f>'4) Operating Expenses'!AN12</f>
        <v>0</v>
      </c>
      <c r="AC49" s="232">
        <f>'4) Operating Expenses'!AO12</f>
        <v>0</v>
      </c>
      <c r="AD49" s="232">
        <f>'4) Operating Expenses'!AP12</f>
        <v>0</v>
      </c>
      <c r="AE49" s="232">
        <f>'4) Operating Expenses'!AQ12</f>
        <v>0</v>
      </c>
      <c r="AF49" s="232">
        <f>'4) Operating Expenses'!AR12</f>
        <v>0</v>
      </c>
      <c r="AG49" s="232">
        <f>'4) Operating Expenses'!AS12</f>
        <v>0</v>
      </c>
      <c r="AH49" s="232">
        <f>'4) Operating Expenses'!AT12</f>
        <v>0</v>
      </c>
      <c r="AI49" s="232">
        <f>'4) Operating Expenses'!AU12</f>
        <v>0</v>
      </c>
      <c r="AJ49" s="232">
        <f>'4) Operating Expenses'!AV12</f>
        <v>0</v>
      </c>
      <c r="AK49" s="232">
        <f>'4) Operating Expenses'!AW12</f>
        <v>0</v>
      </c>
      <c r="AL49" s="232">
        <f>'4) Operating Expenses'!AX12</f>
        <v>0</v>
      </c>
      <c r="AM49" s="232">
        <f>'4) Operating Expenses'!AY12</f>
        <v>0</v>
      </c>
      <c r="AN49" s="232">
        <f>'4) Operating Expenses'!AZ12</f>
        <v>0</v>
      </c>
      <c r="AO49" s="232">
        <f>'4) Operating Expenses'!BA12</f>
        <v>0</v>
      </c>
      <c r="AP49" s="232">
        <f>'4) Operating Expenses'!BB12</f>
        <v>0</v>
      </c>
      <c r="AQ49" s="232">
        <f>'4) Operating Expenses'!BC12</f>
        <v>0</v>
      </c>
      <c r="AR49" s="232">
        <f>'4) Operating Expenses'!BD12</f>
        <v>0</v>
      </c>
      <c r="AS49" s="232">
        <f>'4) Operating Expenses'!BE12</f>
        <v>0</v>
      </c>
      <c r="AT49" s="232">
        <f>'4) Operating Expenses'!BF12</f>
        <v>0</v>
      </c>
      <c r="AU49" s="232">
        <f>'4) Operating Expenses'!BG12</f>
        <v>0</v>
      </c>
      <c r="AV49" s="232">
        <f>'4) Operating Expenses'!BH12</f>
        <v>0</v>
      </c>
      <c r="AW49" s="232">
        <f>'4) Operating Expenses'!BI12</f>
        <v>0</v>
      </c>
      <c r="AX49" s="232">
        <f>'4) Operating Expenses'!BJ12</f>
        <v>0</v>
      </c>
      <c r="AY49" s="232">
        <f>'4) Operating Expenses'!BK12</f>
        <v>0</v>
      </c>
      <c r="AZ49" s="232">
        <f>'4) Operating Expenses'!BL12</f>
        <v>0</v>
      </c>
      <c r="BA49" s="232">
        <f>'4) Operating Expenses'!BM12</f>
        <v>0</v>
      </c>
      <c r="BB49" s="232">
        <f>'4) Operating Expenses'!BN12</f>
        <v>0</v>
      </c>
      <c r="BC49" s="232">
        <f>'4) Operating Expenses'!BO12</f>
        <v>0</v>
      </c>
      <c r="BD49" s="232">
        <f>'4) Operating Expenses'!BP12</f>
        <v>0</v>
      </c>
      <c r="BE49" s="232">
        <f>'4) Operating Expenses'!BQ12</f>
        <v>0</v>
      </c>
      <c r="BF49" s="232">
        <f>'4) Operating Expenses'!BR12</f>
        <v>0</v>
      </c>
      <c r="BG49" s="232">
        <f>'4) Operating Expenses'!BS12</f>
        <v>0</v>
      </c>
      <c r="BH49" s="232">
        <f>'4) Operating Expenses'!BT12</f>
        <v>0</v>
      </c>
      <c r="BI49" s="232">
        <f>'4) Operating Expenses'!BU12</f>
        <v>0</v>
      </c>
      <c r="BJ49" s="232">
        <f>'4) Operating Expenses'!BV12</f>
        <v>0</v>
      </c>
    </row>
    <row r="50" spans="1:62" s="228" customFormat="1" ht="14" hidden="1" customHeight="1">
      <c r="A50" s="188"/>
      <c r="B50" s="233">
        <f>'4) Operating Expenses'!I13</f>
        <v>0</v>
      </c>
      <c r="C50" s="232">
        <f>'4) Operating Expenses'!O13</f>
        <v>0</v>
      </c>
      <c r="D50" s="232">
        <f>'4) Operating Expenses'!P13</f>
        <v>0</v>
      </c>
      <c r="E50" s="232">
        <f>'4) Operating Expenses'!Q13</f>
        <v>0</v>
      </c>
      <c r="F50" s="232">
        <f>'4) Operating Expenses'!R13</f>
        <v>0</v>
      </c>
      <c r="G50" s="232">
        <f>'4) Operating Expenses'!S13</f>
        <v>0</v>
      </c>
      <c r="H50" s="232">
        <f>'4) Operating Expenses'!T13</f>
        <v>0</v>
      </c>
      <c r="I50" s="232">
        <f>'4) Operating Expenses'!U13</f>
        <v>0</v>
      </c>
      <c r="J50" s="232">
        <f>'4) Operating Expenses'!V13</f>
        <v>0</v>
      </c>
      <c r="K50" s="232">
        <f>'4) Operating Expenses'!W13</f>
        <v>0</v>
      </c>
      <c r="L50" s="232">
        <f>'4) Operating Expenses'!X13</f>
        <v>0</v>
      </c>
      <c r="M50" s="232">
        <f>'4) Operating Expenses'!Y13</f>
        <v>0</v>
      </c>
      <c r="N50" s="232">
        <f>'4) Operating Expenses'!Z13</f>
        <v>0</v>
      </c>
      <c r="O50" s="232">
        <f>'4) Operating Expenses'!AA13</f>
        <v>0</v>
      </c>
      <c r="P50" s="232">
        <f>'4) Operating Expenses'!AB13</f>
        <v>0</v>
      </c>
      <c r="Q50" s="232">
        <f>'4) Operating Expenses'!AC13</f>
        <v>0</v>
      </c>
      <c r="R50" s="232">
        <f>'4) Operating Expenses'!AD13</f>
        <v>0</v>
      </c>
      <c r="S50" s="232">
        <f>'4) Operating Expenses'!AE13</f>
        <v>0</v>
      </c>
      <c r="T50" s="232">
        <f>'4) Operating Expenses'!AF13</f>
        <v>0</v>
      </c>
      <c r="U50" s="232">
        <f>'4) Operating Expenses'!AG13</f>
        <v>0</v>
      </c>
      <c r="V50" s="232">
        <f>'4) Operating Expenses'!AH13</f>
        <v>0</v>
      </c>
      <c r="W50" s="232">
        <f>'4) Operating Expenses'!AI13</f>
        <v>0</v>
      </c>
      <c r="X50" s="232">
        <f>'4) Operating Expenses'!AJ13</f>
        <v>0</v>
      </c>
      <c r="Y50" s="232">
        <f>'4) Operating Expenses'!AK13</f>
        <v>0</v>
      </c>
      <c r="Z50" s="232">
        <f>'4) Operating Expenses'!AL13</f>
        <v>0</v>
      </c>
      <c r="AA50" s="232">
        <f>'4) Operating Expenses'!AM13</f>
        <v>0</v>
      </c>
      <c r="AB50" s="232">
        <f>'4) Operating Expenses'!AN13</f>
        <v>0</v>
      </c>
      <c r="AC50" s="232">
        <f>'4) Operating Expenses'!AO13</f>
        <v>0</v>
      </c>
      <c r="AD50" s="232">
        <f>'4) Operating Expenses'!AP13</f>
        <v>0</v>
      </c>
      <c r="AE50" s="232">
        <f>'4) Operating Expenses'!AQ13</f>
        <v>0</v>
      </c>
      <c r="AF50" s="232">
        <f>'4) Operating Expenses'!AR13</f>
        <v>0</v>
      </c>
      <c r="AG50" s="232">
        <f>'4) Operating Expenses'!AS13</f>
        <v>0</v>
      </c>
      <c r="AH50" s="232">
        <f>'4) Operating Expenses'!AT13</f>
        <v>0</v>
      </c>
      <c r="AI50" s="232">
        <f>'4) Operating Expenses'!AU13</f>
        <v>0</v>
      </c>
      <c r="AJ50" s="232">
        <f>'4) Operating Expenses'!AV13</f>
        <v>0</v>
      </c>
      <c r="AK50" s="232">
        <f>'4) Operating Expenses'!AW13</f>
        <v>0</v>
      </c>
      <c r="AL50" s="232">
        <f>'4) Operating Expenses'!AX13</f>
        <v>0</v>
      </c>
      <c r="AM50" s="232">
        <f>'4) Operating Expenses'!AY13</f>
        <v>0</v>
      </c>
      <c r="AN50" s="232">
        <f>'4) Operating Expenses'!AZ13</f>
        <v>0</v>
      </c>
      <c r="AO50" s="232">
        <f>'4) Operating Expenses'!BA13</f>
        <v>0</v>
      </c>
      <c r="AP50" s="232">
        <f>'4) Operating Expenses'!BB13</f>
        <v>0</v>
      </c>
      <c r="AQ50" s="232">
        <f>'4) Operating Expenses'!BC13</f>
        <v>0</v>
      </c>
      <c r="AR50" s="232">
        <f>'4) Operating Expenses'!BD13</f>
        <v>0</v>
      </c>
      <c r="AS50" s="232">
        <f>'4) Operating Expenses'!BE13</f>
        <v>0</v>
      </c>
      <c r="AT50" s="232">
        <f>'4) Operating Expenses'!BF13</f>
        <v>0</v>
      </c>
      <c r="AU50" s="232">
        <f>'4) Operating Expenses'!BG13</f>
        <v>0</v>
      </c>
      <c r="AV50" s="232">
        <f>'4) Operating Expenses'!BH13</f>
        <v>0</v>
      </c>
      <c r="AW50" s="232">
        <f>'4) Operating Expenses'!BI13</f>
        <v>0</v>
      </c>
      <c r="AX50" s="232">
        <f>'4) Operating Expenses'!BJ13</f>
        <v>0</v>
      </c>
      <c r="AY50" s="232">
        <f>'4) Operating Expenses'!BK13</f>
        <v>0</v>
      </c>
      <c r="AZ50" s="232">
        <f>'4) Operating Expenses'!BL13</f>
        <v>0</v>
      </c>
      <c r="BA50" s="232">
        <f>'4) Operating Expenses'!BM13</f>
        <v>0</v>
      </c>
      <c r="BB50" s="232">
        <f>'4) Operating Expenses'!BN13</f>
        <v>0</v>
      </c>
      <c r="BC50" s="232">
        <f>'4) Operating Expenses'!BO13</f>
        <v>0</v>
      </c>
      <c r="BD50" s="232">
        <f>'4) Operating Expenses'!BP13</f>
        <v>0</v>
      </c>
      <c r="BE50" s="232">
        <f>'4) Operating Expenses'!BQ13</f>
        <v>0</v>
      </c>
      <c r="BF50" s="232">
        <f>'4) Operating Expenses'!BR13</f>
        <v>0</v>
      </c>
      <c r="BG50" s="232">
        <f>'4) Operating Expenses'!BS13</f>
        <v>0</v>
      </c>
      <c r="BH50" s="232">
        <f>'4) Operating Expenses'!BT13</f>
        <v>0</v>
      </c>
      <c r="BI50" s="232">
        <f>'4) Operating Expenses'!BU13</f>
        <v>0</v>
      </c>
      <c r="BJ50" s="232">
        <f>'4) Operating Expenses'!BV13</f>
        <v>0</v>
      </c>
    </row>
    <row r="51" spans="1:62" s="228" customFormat="1" ht="14" hidden="1" customHeight="1">
      <c r="A51" s="188"/>
      <c r="B51" s="233">
        <f>'4) Operating Expenses'!I14</f>
        <v>0</v>
      </c>
      <c r="C51" s="232">
        <f>'4) Operating Expenses'!O14</f>
        <v>0</v>
      </c>
      <c r="D51" s="232">
        <f>'4) Operating Expenses'!P14</f>
        <v>0</v>
      </c>
      <c r="E51" s="232">
        <f>'4) Operating Expenses'!Q14</f>
        <v>0</v>
      </c>
      <c r="F51" s="232">
        <f>'4) Operating Expenses'!R14</f>
        <v>0</v>
      </c>
      <c r="G51" s="232">
        <f>'4) Operating Expenses'!S14</f>
        <v>0</v>
      </c>
      <c r="H51" s="232">
        <f>'4) Operating Expenses'!T14</f>
        <v>0</v>
      </c>
      <c r="I51" s="232">
        <f>'4) Operating Expenses'!U14</f>
        <v>0</v>
      </c>
      <c r="J51" s="232">
        <f>'4) Operating Expenses'!V14</f>
        <v>0</v>
      </c>
      <c r="K51" s="232">
        <f>'4) Operating Expenses'!W14</f>
        <v>0</v>
      </c>
      <c r="L51" s="232">
        <f>'4) Operating Expenses'!X14</f>
        <v>0</v>
      </c>
      <c r="M51" s="232">
        <f>'4) Operating Expenses'!Y14</f>
        <v>0</v>
      </c>
      <c r="N51" s="232">
        <f>'4) Operating Expenses'!Z14</f>
        <v>0</v>
      </c>
      <c r="O51" s="232">
        <f>'4) Operating Expenses'!AA14</f>
        <v>0</v>
      </c>
      <c r="P51" s="232">
        <f>'4) Operating Expenses'!AB14</f>
        <v>0</v>
      </c>
      <c r="Q51" s="232">
        <f>'4) Operating Expenses'!AC14</f>
        <v>0</v>
      </c>
      <c r="R51" s="232">
        <f>'4) Operating Expenses'!AD14</f>
        <v>0</v>
      </c>
      <c r="S51" s="232">
        <f>'4) Operating Expenses'!AE14</f>
        <v>0</v>
      </c>
      <c r="T51" s="232">
        <f>'4) Operating Expenses'!AF14</f>
        <v>0</v>
      </c>
      <c r="U51" s="232">
        <f>'4) Operating Expenses'!AG14</f>
        <v>0</v>
      </c>
      <c r="V51" s="232">
        <f>'4) Operating Expenses'!AH14</f>
        <v>0</v>
      </c>
      <c r="W51" s="232">
        <f>'4) Operating Expenses'!AI14</f>
        <v>0</v>
      </c>
      <c r="X51" s="232">
        <f>'4) Operating Expenses'!AJ14</f>
        <v>0</v>
      </c>
      <c r="Y51" s="232">
        <f>'4) Operating Expenses'!AK14</f>
        <v>0</v>
      </c>
      <c r="Z51" s="232">
        <f>'4) Operating Expenses'!AL14</f>
        <v>0</v>
      </c>
      <c r="AA51" s="232">
        <f>'4) Operating Expenses'!AM14</f>
        <v>0</v>
      </c>
      <c r="AB51" s="232">
        <f>'4) Operating Expenses'!AN14</f>
        <v>0</v>
      </c>
      <c r="AC51" s="232">
        <f>'4) Operating Expenses'!AO14</f>
        <v>0</v>
      </c>
      <c r="AD51" s="232">
        <f>'4) Operating Expenses'!AP14</f>
        <v>0</v>
      </c>
      <c r="AE51" s="232">
        <f>'4) Operating Expenses'!AQ14</f>
        <v>0</v>
      </c>
      <c r="AF51" s="232">
        <f>'4) Operating Expenses'!AR14</f>
        <v>0</v>
      </c>
      <c r="AG51" s="232">
        <f>'4) Operating Expenses'!AS14</f>
        <v>0</v>
      </c>
      <c r="AH51" s="232">
        <f>'4) Operating Expenses'!AT14</f>
        <v>0</v>
      </c>
      <c r="AI51" s="232">
        <f>'4) Operating Expenses'!AU14</f>
        <v>0</v>
      </c>
      <c r="AJ51" s="232">
        <f>'4) Operating Expenses'!AV14</f>
        <v>0</v>
      </c>
      <c r="AK51" s="232">
        <f>'4) Operating Expenses'!AW14</f>
        <v>0</v>
      </c>
      <c r="AL51" s="232">
        <f>'4) Operating Expenses'!AX14</f>
        <v>0</v>
      </c>
      <c r="AM51" s="232">
        <f>'4) Operating Expenses'!AY14</f>
        <v>0</v>
      </c>
      <c r="AN51" s="232">
        <f>'4) Operating Expenses'!AZ14</f>
        <v>0</v>
      </c>
      <c r="AO51" s="232">
        <f>'4) Operating Expenses'!BA14</f>
        <v>0</v>
      </c>
      <c r="AP51" s="232">
        <f>'4) Operating Expenses'!BB14</f>
        <v>0</v>
      </c>
      <c r="AQ51" s="232">
        <f>'4) Operating Expenses'!BC14</f>
        <v>0</v>
      </c>
      <c r="AR51" s="232">
        <f>'4) Operating Expenses'!BD14</f>
        <v>0</v>
      </c>
      <c r="AS51" s="232">
        <f>'4) Operating Expenses'!BE14</f>
        <v>0</v>
      </c>
      <c r="AT51" s="232">
        <f>'4) Operating Expenses'!BF14</f>
        <v>0</v>
      </c>
      <c r="AU51" s="232">
        <f>'4) Operating Expenses'!BG14</f>
        <v>0</v>
      </c>
      <c r="AV51" s="232">
        <f>'4) Operating Expenses'!BH14</f>
        <v>0</v>
      </c>
      <c r="AW51" s="232">
        <f>'4) Operating Expenses'!BI14</f>
        <v>0</v>
      </c>
      <c r="AX51" s="232">
        <f>'4) Operating Expenses'!BJ14</f>
        <v>0</v>
      </c>
      <c r="AY51" s="232">
        <f>'4) Operating Expenses'!BK14</f>
        <v>0</v>
      </c>
      <c r="AZ51" s="232">
        <f>'4) Operating Expenses'!BL14</f>
        <v>0</v>
      </c>
      <c r="BA51" s="232">
        <f>'4) Operating Expenses'!BM14</f>
        <v>0</v>
      </c>
      <c r="BB51" s="232">
        <f>'4) Operating Expenses'!BN14</f>
        <v>0</v>
      </c>
      <c r="BC51" s="232">
        <f>'4) Operating Expenses'!BO14</f>
        <v>0</v>
      </c>
      <c r="BD51" s="232">
        <f>'4) Operating Expenses'!BP14</f>
        <v>0</v>
      </c>
      <c r="BE51" s="232">
        <f>'4) Operating Expenses'!BQ14</f>
        <v>0</v>
      </c>
      <c r="BF51" s="232">
        <f>'4) Operating Expenses'!BR14</f>
        <v>0</v>
      </c>
      <c r="BG51" s="232">
        <f>'4) Operating Expenses'!BS14</f>
        <v>0</v>
      </c>
      <c r="BH51" s="232">
        <f>'4) Operating Expenses'!BT14</f>
        <v>0</v>
      </c>
      <c r="BI51" s="232">
        <f>'4) Operating Expenses'!BU14</f>
        <v>0</v>
      </c>
      <c r="BJ51" s="232">
        <f>'4) Operating Expenses'!BV14</f>
        <v>0</v>
      </c>
    </row>
    <row r="52" spans="1:62" s="228" customFormat="1" ht="14" hidden="1" customHeight="1">
      <c r="A52" s="188"/>
      <c r="B52" s="233">
        <f>'4) Operating Expenses'!I15</f>
        <v>0</v>
      </c>
      <c r="C52" s="232">
        <f>'4) Operating Expenses'!O15</f>
        <v>0</v>
      </c>
      <c r="D52" s="232">
        <f>'4) Operating Expenses'!P15</f>
        <v>0</v>
      </c>
      <c r="E52" s="232">
        <f>'4) Operating Expenses'!Q15</f>
        <v>0</v>
      </c>
      <c r="F52" s="232">
        <f>'4) Operating Expenses'!R15</f>
        <v>0</v>
      </c>
      <c r="G52" s="232">
        <f>'4) Operating Expenses'!S15</f>
        <v>0</v>
      </c>
      <c r="H52" s="232">
        <f>'4) Operating Expenses'!T15</f>
        <v>0</v>
      </c>
      <c r="I52" s="232">
        <f>'4) Operating Expenses'!U15</f>
        <v>0</v>
      </c>
      <c r="J52" s="232">
        <f>'4) Operating Expenses'!V15</f>
        <v>0</v>
      </c>
      <c r="K52" s="232">
        <f>'4) Operating Expenses'!W15</f>
        <v>0</v>
      </c>
      <c r="L52" s="232">
        <f>'4) Operating Expenses'!X15</f>
        <v>0</v>
      </c>
      <c r="M52" s="232">
        <f>'4) Operating Expenses'!Y15</f>
        <v>0</v>
      </c>
      <c r="N52" s="232">
        <f>'4) Operating Expenses'!Z15</f>
        <v>0</v>
      </c>
      <c r="O52" s="232">
        <f>'4) Operating Expenses'!AA15</f>
        <v>0</v>
      </c>
      <c r="P52" s="232">
        <f>'4) Operating Expenses'!AB15</f>
        <v>0</v>
      </c>
      <c r="Q52" s="232">
        <f>'4) Operating Expenses'!AC15</f>
        <v>0</v>
      </c>
      <c r="R52" s="232">
        <f>'4) Operating Expenses'!AD15</f>
        <v>0</v>
      </c>
      <c r="S52" s="232">
        <f>'4) Operating Expenses'!AE15</f>
        <v>0</v>
      </c>
      <c r="T52" s="232">
        <f>'4) Operating Expenses'!AF15</f>
        <v>0</v>
      </c>
      <c r="U52" s="232">
        <f>'4) Operating Expenses'!AG15</f>
        <v>0</v>
      </c>
      <c r="V52" s="232">
        <f>'4) Operating Expenses'!AH15</f>
        <v>0</v>
      </c>
      <c r="W52" s="232">
        <f>'4) Operating Expenses'!AI15</f>
        <v>0</v>
      </c>
      <c r="X52" s="232">
        <f>'4) Operating Expenses'!AJ15</f>
        <v>0</v>
      </c>
      <c r="Y52" s="232">
        <f>'4) Operating Expenses'!AK15</f>
        <v>0</v>
      </c>
      <c r="Z52" s="232">
        <f>'4) Operating Expenses'!AL15</f>
        <v>0</v>
      </c>
      <c r="AA52" s="232">
        <f>'4) Operating Expenses'!AM15</f>
        <v>0</v>
      </c>
      <c r="AB52" s="232">
        <f>'4) Operating Expenses'!AN15</f>
        <v>0</v>
      </c>
      <c r="AC52" s="232">
        <f>'4) Operating Expenses'!AO15</f>
        <v>0</v>
      </c>
      <c r="AD52" s="232">
        <f>'4) Operating Expenses'!AP15</f>
        <v>0</v>
      </c>
      <c r="AE52" s="232">
        <f>'4) Operating Expenses'!AQ15</f>
        <v>0</v>
      </c>
      <c r="AF52" s="232">
        <f>'4) Operating Expenses'!AR15</f>
        <v>0</v>
      </c>
      <c r="AG52" s="232">
        <f>'4) Operating Expenses'!AS15</f>
        <v>0</v>
      </c>
      <c r="AH52" s="232">
        <f>'4) Operating Expenses'!AT15</f>
        <v>0</v>
      </c>
      <c r="AI52" s="232">
        <f>'4) Operating Expenses'!AU15</f>
        <v>0</v>
      </c>
      <c r="AJ52" s="232">
        <f>'4) Operating Expenses'!AV15</f>
        <v>0</v>
      </c>
      <c r="AK52" s="232">
        <f>'4) Operating Expenses'!AW15</f>
        <v>0</v>
      </c>
      <c r="AL52" s="232">
        <f>'4) Operating Expenses'!AX15</f>
        <v>0</v>
      </c>
      <c r="AM52" s="232">
        <f>'4) Operating Expenses'!AY15</f>
        <v>0</v>
      </c>
      <c r="AN52" s="232">
        <f>'4) Operating Expenses'!AZ15</f>
        <v>0</v>
      </c>
      <c r="AO52" s="232">
        <f>'4) Operating Expenses'!BA15</f>
        <v>0</v>
      </c>
      <c r="AP52" s="232">
        <f>'4) Operating Expenses'!BB15</f>
        <v>0</v>
      </c>
      <c r="AQ52" s="232">
        <f>'4) Operating Expenses'!BC15</f>
        <v>0</v>
      </c>
      <c r="AR52" s="232">
        <f>'4) Operating Expenses'!BD15</f>
        <v>0</v>
      </c>
      <c r="AS52" s="232">
        <f>'4) Operating Expenses'!BE15</f>
        <v>0</v>
      </c>
      <c r="AT52" s="232">
        <f>'4) Operating Expenses'!BF15</f>
        <v>0</v>
      </c>
      <c r="AU52" s="232">
        <f>'4) Operating Expenses'!BG15</f>
        <v>0</v>
      </c>
      <c r="AV52" s="232">
        <f>'4) Operating Expenses'!BH15</f>
        <v>0</v>
      </c>
      <c r="AW52" s="232">
        <f>'4) Operating Expenses'!BI15</f>
        <v>0</v>
      </c>
      <c r="AX52" s="232">
        <f>'4) Operating Expenses'!BJ15</f>
        <v>0</v>
      </c>
      <c r="AY52" s="232">
        <f>'4) Operating Expenses'!BK15</f>
        <v>0</v>
      </c>
      <c r="AZ52" s="232">
        <f>'4) Operating Expenses'!BL15</f>
        <v>0</v>
      </c>
      <c r="BA52" s="232">
        <f>'4) Operating Expenses'!BM15</f>
        <v>0</v>
      </c>
      <c r="BB52" s="232">
        <f>'4) Operating Expenses'!BN15</f>
        <v>0</v>
      </c>
      <c r="BC52" s="232">
        <f>'4) Operating Expenses'!BO15</f>
        <v>0</v>
      </c>
      <c r="BD52" s="232">
        <f>'4) Operating Expenses'!BP15</f>
        <v>0</v>
      </c>
      <c r="BE52" s="232">
        <f>'4) Operating Expenses'!BQ15</f>
        <v>0</v>
      </c>
      <c r="BF52" s="232">
        <f>'4) Operating Expenses'!BR15</f>
        <v>0</v>
      </c>
      <c r="BG52" s="232">
        <f>'4) Operating Expenses'!BS15</f>
        <v>0</v>
      </c>
      <c r="BH52" s="232">
        <f>'4) Operating Expenses'!BT15</f>
        <v>0</v>
      </c>
      <c r="BI52" s="232">
        <f>'4) Operating Expenses'!BU15</f>
        <v>0</v>
      </c>
      <c r="BJ52" s="232">
        <f>'4) Operating Expenses'!BV15</f>
        <v>0</v>
      </c>
    </row>
    <row r="53" spans="1:62" s="228" customFormat="1" ht="14" hidden="1" customHeight="1">
      <c r="A53" s="188"/>
      <c r="B53" s="233">
        <f>'4) Operating Expenses'!I16</f>
        <v>0</v>
      </c>
      <c r="C53" s="232">
        <f>'4) Operating Expenses'!O16</f>
        <v>0</v>
      </c>
      <c r="D53" s="232">
        <f>'4) Operating Expenses'!P16</f>
        <v>0</v>
      </c>
      <c r="E53" s="232">
        <f>'4) Operating Expenses'!Q16</f>
        <v>0</v>
      </c>
      <c r="F53" s="232">
        <f>'4) Operating Expenses'!R16</f>
        <v>0</v>
      </c>
      <c r="G53" s="232">
        <f>'4) Operating Expenses'!S16</f>
        <v>0</v>
      </c>
      <c r="H53" s="232">
        <f>'4) Operating Expenses'!T16</f>
        <v>0</v>
      </c>
      <c r="I53" s="232">
        <f>'4) Operating Expenses'!U16</f>
        <v>0</v>
      </c>
      <c r="J53" s="232">
        <f>'4) Operating Expenses'!V16</f>
        <v>0</v>
      </c>
      <c r="K53" s="232">
        <f>'4) Operating Expenses'!W16</f>
        <v>0</v>
      </c>
      <c r="L53" s="232">
        <f>'4) Operating Expenses'!X16</f>
        <v>0</v>
      </c>
      <c r="M53" s="232">
        <f>'4) Operating Expenses'!Y16</f>
        <v>0</v>
      </c>
      <c r="N53" s="232">
        <f>'4) Operating Expenses'!Z16</f>
        <v>0</v>
      </c>
      <c r="O53" s="232">
        <f>'4) Operating Expenses'!AA16</f>
        <v>0</v>
      </c>
      <c r="P53" s="232">
        <f>'4) Operating Expenses'!AB16</f>
        <v>0</v>
      </c>
      <c r="Q53" s="232">
        <f>'4) Operating Expenses'!AC16</f>
        <v>0</v>
      </c>
      <c r="R53" s="232">
        <f>'4) Operating Expenses'!AD16</f>
        <v>0</v>
      </c>
      <c r="S53" s="232">
        <f>'4) Operating Expenses'!AE16</f>
        <v>0</v>
      </c>
      <c r="T53" s="232">
        <f>'4) Operating Expenses'!AF16</f>
        <v>0</v>
      </c>
      <c r="U53" s="232">
        <f>'4) Operating Expenses'!AG16</f>
        <v>0</v>
      </c>
      <c r="V53" s="232">
        <f>'4) Operating Expenses'!AH16</f>
        <v>0</v>
      </c>
      <c r="W53" s="232">
        <f>'4) Operating Expenses'!AI16</f>
        <v>0</v>
      </c>
      <c r="X53" s="232">
        <f>'4) Operating Expenses'!AJ16</f>
        <v>0</v>
      </c>
      <c r="Y53" s="232">
        <f>'4) Operating Expenses'!AK16</f>
        <v>0</v>
      </c>
      <c r="Z53" s="232">
        <f>'4) Operating Expenses'!AL16</f>
        <v>0</v>
      </c>
      <c r="AA53" s="232">
        <f>'4) Operating Expenses'!AM16</f>
        <v>0</v>
      </c>
      <c r="AB53" s="232">
        <f>'4) Operating Expenses'!AN16</f>
        <v>0</v>
      </c>
      <c r="AC53" s="232">
        <f>'4) Operating Expenses'!AO16</f>
        <v>0</v>
      </c>
      <c r="AD53" s="232">
        <f>'4) Operating Expenses'!AP16</f>
        <v>0</v>
      </c>
      <c r="AE53" s="232">
        <f>'4) Operating Expenses'!AQ16</f>
        <v>0</v>
      </c>
      <c r="AF53" s="232">
        <f>'4) Operating Expenses'!AR16</f>
        <v>0</v>
      </c>
      <c r="AG53" s="232">
        <f>'4) Operating Expenses'!AS16</f>
        <v>0</v>
      </c>
      <c r="AH53" s="232">
        <f>'4) Operating Expenses'!AT16</f>
        <v>0</v>
      </c>
      <c r="AI53" s="232">
        <f>'4) Operating Expenses'!AU16</f>
        <v>0</v>
      </c>
      <c r="AJ53" s="232">
        <f>'4) Operating Expenses'!AV16</f>
        <v>0</v>
      </c>
      <c r="AK53" s="232">
        <f>'4) Operating Expenses'!AW16</f>
        <v>0</v>
      </c>
      <c r="AL53" s="232">
        <f>'4) Operating Expenses'!AX16</f>
        <v>0</v>
      </c>
      <c r="AM53" s="232">
        <f>'4) Operating Expenses'!AY16</f>
        <v>0</v>
      </c>
      <c r="AN53" s="232">
        <f>'4) Operating Expenses'!AZ16</f>
        <v>0</v>
      </c>
      <c r="AO53" s="232">
        <f>'4) Operating Expenses'!BA16</f>
        <v>0</v>
      </c>
      <c r="AP53" s="232">
        <f>'4) Operating Expenses'!BB16</f>
        <v>0</v>
      </c>
      <c r="AQ53" s="232">
        <f>'4) Operating Expenses'!BC16</f>
        <v>0</v>
      </c>
      <c r="AR53" s="232">
        <f>'4) Operating Expenses'!BD16</f>
        <v>0</v>
      </c>
      <c r="AS53" s="232">
        <f>'4) Operating Expenses'!BE16</f>
        <v>0</v>
      </c>
      <c r="AT53" s="232">
        <f>'4) Operating Expenses'!BF16</f>
        <v>0</v>
      </c>
      <c r="AU53" s="232">
        <f>'4) Operating Expenses'!BG16</f>
        <v>0</v>
      </c>
      <c r="AV53" s="232">
        <f>'4) Operating Expenses'!BH16</f>
        <v>0</v>
      </c>
      <c r="AW53" s="232">
        <f>'4) Operating Expenses'!BI16</f>
        <v>0</v>
      </c>
      <c r="AX53" s="232">
        <f>'4) Operating Expenses'!BJ16</f>
        <v>0</v>
      </c>
      <c r="AY53" s="232">
        <f>'4) Operating Expenses'!BK16</f>
        <v>0</v>
      </c>
      <c r="AZ53" s="232">
        <f>'4) Operating Expenses'!BL16</f>
        <v>0</v>
      </c>
      <c r="BA53" s="232">
        <f>'4) Operating Expenses'!BM16</f>
        <v>0</v>
      </c>
      <c r="BB53" s="232">
        <f>'4) Operating Expenses'!BN16</f>
        <v>0</v>
      </c>
      <c r="BC53" s="232">
        <f>'4) Operating Expenses'!BO16</f>
        <v>0</v>
      </c>
      <c r="BD53" s="232">
        <f>'4) Operating Expenses'!BP16</f>
        <v>0</v>
      </c>
      <c r="BE53" s="232">
        <f>'4) Operating Expenses'!BQ16</f>
        <v>0</v>
      </c>
      <c r="BF53" s="232">
        <f>'4) Operating Expenses'!BR16</f>
        <v>0</v>
      </c>
      <c r="BG53" s="232">
        <f>'4) Operating Expenses'!BS16</f>
        <v>0</v>
      </c>
      <c r="BH53" s="232">
        <f>'4) Operating Expenses'!BT16</f>
        <v>0</v>
      </c>
      <c r="BI53" s="232">
        <f>'4) Operating Expenses'!BU16</f>
        <v>0</v>
      </c>
      <c r="BJ53" s="232">
        <f>'4) Operating Expenses'!BV16</f>
        <v>0</v>
      </c>
    </row>
    <row r="54" spans="1:62" s="228" customFormat="1" ht="14" hidden="1" customHeight="1">
      <c r="A54" s="188"/>
      <c r="B54" s="233">
        <f>'4) Operating Expenses'!I17</f>
        <v>0</v>
      </c>
      <c r="C54" s="232">
        <f>'4) Operating Expenses'!O17</f>
        <v>0</v>
      </c>
      <c r="D54" s="232">
        <f>'4) Operating Expenses'!P17</f>
        <v>0</v>
      </c>
      <c r="E54" s="232">
        <f>'4) Operating Expenses'!Q17</f>
        <v>0</v>
      </c>
      <c r="F54" s="232">
        <f>'4) Operating Expenses'!R17</f>
        <v>0</v>
      </c>
      <c r="G54" s="232">
        <f>'4) Operating Expenses'!S17</f>
        <v>0</v>
      </c>
      <c r="H54" s="232">
        <f>'4) Operating Expenses'!T17</f>
        <v>0</v>
      </c>
      <c r="I54" s="232">
        <f>'4) Operating Expenses'!U17</f>
        <v>0</v>
      </c>
      <c r="J54" s="232">
        <f>'4) Operating Expenses'!V17</f>
        <v>0</v>
      </c>
      <c r="K54" s="232">
        <f>'4) Operating Expenses'!W17</f>
        <v>0</v>
      </c>
      <c r="L54" s="232">
        <f>'4) Operating Expenses'!X17</f>
        <v>0</v>
      </c>
      <c r="M54" s="232">
        <f>'4) Operating Expenses'!Y17</f>
        <v>0</v>
      </c>
      <c r="N54" s="232">
        <f>'4) Operating Expenses'!Z17</f>
        <v>0</v>
      </c>
      <c r="O54" s="232">
        <f>'4) Operating Expenses'!AA17</f>
        <v>0</v>
      </c>
      <c r="P54" s="232">
        <f>'4) Operating Expenses'!AB17</f>
        <v>0</v>
      </c>
      <c r="Q54" s="232">
        <f>'4) Operating Expenses'!AC17</f>
        <v>0</v>
      </c>
      <c r="R54" s="232">
        <f>'4) Operating Expenses'!AD17</f>
        <v>0</v>
      </c>
      <c r="S54" s="232">
        <f>'4) Operating Expenses'!AE17</f>
        <v>0</v>
      </c>
      <c r="T54" s="232">
        <f>'4) Operating Expenses'!AF17</f>
        <v>0</v>
      </c>
      <c r="U54" s="232">
        <f>'4) Operating Expenses'!AG17</f>
        <v>0</v>
      </c>
      <c r="V54" s="232">
        <f>'4) Operating Expenses'!AH17</f>
        <v>0</v>
      </c>
      <c r="W54" s="232">
        <f>'4) Operating Expenses'!AI17</f>
        <v>0</v>
      </c>
      <c r="X54" s="232">
        <f>'4) Operating Expenses'!AJ17</f>
        <v>0</v>
      </c>
      <c r="Y54" s="232">
        <f>'4) Operating Expenses'!AK17</f>
        <v>0</v>
      </c>
      <c r="Z54" s="232">
        <f>'4) Operating Expenses'!AL17</f>
        <v>0</v>
      </c>
      <c r="AA54" s="232">
        <f>'4) Operating Expenses'!AM17</f>
        <v>0</v>
      </c>
      <c r="AB54" s="232">
        <f>'4) Operating Expenses'!AN17</f>
        <v>0</v>
      </c>
      <c r="AC54" s="232">
        <f>'4) Operating Expenses'!AO17</f>
        <v>0</v>
      </c>
      <c r="AD54" s="232">
        <f>'4) Operating Expenses'!AP17</f>
        <v>0</v>
      </c>
      <c r="AE54" s="232">
        <f>'4) Operating Expenses'!AQ17</f>
        <v>0</v>
      </c>
      <c r="AF54" s="232">
        <f>'4) Operating Expenses'!AR17</f>
        <v>0</v>
      </c>
      <c r="AG54" s="232">
        <f>'4) Operating Expenses'!AS17</f>
        <v>0</v>
      </c>
      <c r="AH54" s="232">
        <f>'4) Operating Expenses'!AT17</f>
        <v>0</v>
      </c>
      <c r="AI54" s="232">
        <f>'4) Operating Expenses'!AU17</f>
        <v>0</v>
      </c>
      <c r="AJ54" s="232">
        <f>'4) Operating Expenses'!AV17</f>
        <v>0</v>
      </c>
      <c r="AK54" s="232">
        <f>'4) Operating Expenses'!AW17</f>
        <v>0</v>
      </c>
      <c r="AL54" s="232">
        <f>'4) Operating Expenses'!AX17</f>
        <v>0</v>
      </c>
      <c r="AM54" s="232">
        <f>'4) Operating Expenses'!AY17</f>
        <v>0</v>
      </c>
      <c r="AN54" s="232">
        <f>'4) Operating Expenses'!AZ17</f>
        <v>0</v>
      </c>
      <c r="AO54" s="232">
        <f>'4) Operating Expenses'!BA17</f>
        <v>0</v>
      </c>
      <c r="AP54" s="232">
        <f>'4) Operating Expenses'!BB17</f>
        <v>0</v>
      </c>
      <c r="AQ54" s="232">
        <f>'4) Operating Expenses'!BC17</f>
        <v>0</v>
      </c>
      <c r="AR54" s="232">
        <f>'4) Operating Expenses'!BD17</f>
        <v>0</v>
      </c>
      <c r="AS54" s="232">
        <f>'4) Operating Expenses'!BE17</f>
        <v>0</v>
      </c>
      <c r="AT54" s="232">
        <f>'4) Operating Expenses'!BF17</f>
        <v>0</v>
      </c>
      <c r="AU54" s="232">
        <f>'4) Operating Expenses'!BG17</f>
        <v>0</v>
      </c>
      <c r="AV54" s="232">
        <f>'4) Operating Expenses'!BH17</f>
        <v>0</v>
      </c>
      <c r="AW54" s="232">
        <f>'4) Operating Expenses'!BI17</f>
        <v>0</v>
      </c>
      <c r="AX54" s="232">
        <f>'4) Operating Expenses'!BJ17</f>
        <v>0</v>
      </c>
      <c r="AY54" s="232">
        <f>'4) Operating Expenses'!BK17</f>
        <v>0</v>
      </c>
      <c r="AZ54" s="232">
        <f>'4) Operating Expenses'!BL17</f>
        <v>0</v>
      </c>
      <c r="BA54" s="232">
        <f>'4) Operating Expenses'!BM17</f>
        <v>0</v>
      </c>
      <c r="BB54" s="232">
        <f>'4) Operating Expenses'!BN17</f>
        <v>0</v>
      </c>
      <c r="BC54" s="232">
        <f>'4) Operating Expenses'!BO17</f>
        <v>0</v>
      </c>
      <c r="BD54" s="232">
        <f>'4) Operating Expenses'!BP17</f>
        <v>0</v>
      </c>
      <c r="BE54" s="232">
        <f>'4) Operating Expenses'!BQ17</f>
        <v>0</v>
      </c>
      <c r="BF54" s="232">
        <f>'4) Operating Expenses'!BR17</f>
        <v>0</v>
      </c>
      <c r="BG54" s="232">
        <f>'4) Operating Expenses'!BS17</f>
        <v>0</v>
      </c>
      <c r="BH54" s="232">
        <f>'4) Operating Expenses'!BT17</f>
        <v>0</v>
      </c>
      <c r="BI54" s="232">
        <f>'4) Operating Expenses'!BU17</f>
        <v>0</v>
      </c>
      <c r="BJ54" s="232">
        <f>'4) Operating Expenses'!BV17</f>
        <v>0</v>
      </c>
    </row>
    <row r="55" spans="1:62" s="228" customFormat="1" ht="14" hidden="1" customHeight="1">
      <c r="A55" s="188"/>
      <c r="B55" s="233">
        <f>'4) Operating Expenses'!I18</f>
        <v>0</v>
      </c>
      <c r="C55" s="232">
        <f>'4) Operating Expenses'!O18</f>
        <v>0</v>
      </c>
      <c r="D55" s="232">
        <f>'4) Operating Expenses'!P18</f>
        <v>0</v>
      </c>
      <c r="E55" s="232">
        <f>'4) Operating Expenses'!Q18</f>
        <v>0</v>
      </c>
      <c r="F55" s="232">
        <f>'4) Operating Expenses'!R18</f>
        <v>0</v>
      </c>
      <c r="G55" s="232">
        <f>'4) Operating Expenses'!S18</f>
        <v>0</v>
      </c>
      <c r="H55" s="232">
        <f>'4) Operating Expenses'!T18</f>
        <v>0</v>
      </c>
      <c r="I55" s="232">
        <f>'4) Operating Expenses'!U18</f>
        <v>0</v>
      </c>
      <c r="J55" s="232">
        <f>'4) Operating Expenses'!V18</f>
        <v>0</v>
      </c>
      <c r="K55" s="232">
        <f>'4) Operating Expenses'!W18</f>
        <v>0</v>
      </c>
      <c r="L55" s="232">
        <f>'4) Operating Expenses'!X18</f>
        <v>0</v>
      </c>
      <c r="M55" s="232">
        <f>'4) Operating Expenses'!Y18</f>
        <v>0</v>
      </c>
      <c r="N55" s="232">
        <f>'4) Operating Expenses'!Z18</f>
        <v>0</v>
      </c>
      <c r="O55" s="232">
        <f>'4) Operating Expenses'!AA18</f>
        <v>0</v>
      </c>
      <c r="P55" s="232">
        <f>'4) Operating Expenses'!AB18</f>
        <v>0</v>
      </c>
      <c r="Q55" s="232">
        <f>'4) Operating Expenses'!AC18</f>
        <v>0</v>
      </c>
      <c r="R55" s="232">
        <f>'4) Operating Expenses'!AD18</f>
        <v>0</v>
      </c>
      <c r="S55" s="232">
        <f>'4) Operating Expenses'!AE18</f>
        <v>0</v>
      </c>
      <c r="T55" s="232">
        <f>'4) Operating Expenses'!AF18</f>
        <v>0</v>
      </c>
      <c r="U55" s="232">
        <f>'4) Operating Expenses'!AG18</f>
        <v>0</v>
      </c>
      <c r="V55" s="232">
        <f>'4) Operating Expenses'!AH18</f>
        <v>0</v>
      </c>
      <c r="W55" s="232">
        <f>'4) Operating Expenses'!AI18</f>
        <v>0</v>
      </c>
      <c r="X55" s="232">
        <f>'4) Operating Expenses'!AJ18</f>
        <v>0</v>
      </c>
      <c r="Y55" s="232">
        <f>'4) Operating Expenses'!AK18</f>
        <v>0</v>
      </c>
      <c r="Z55" s="232">
        <f>'4) Operating Expenses'!AL18</f>
        <v>0</v>
      </c>
      <c r="AA55" s="232">
        <f>'4) Operating Expenses'!AM18</f>
        <v>0</v>
      </c>
      <c r="AB55" s="232">
        <f>'4) Operating Expenses'!AN18</f>
        <v>0</v>
      </c>
      <c r="AC55" s="232">
        <f>'4) Operating Expenses'!AO18</f>
        <v>0</v>
      </c>
      <c r="AD55" s="232">
        <f>'4) Operating Expenses'!AP18</f>
        <v>0</v>
      </c>
      <c r="AE55" s="232">
        <f>'4) Operating Expenses'!AQ18</f>
        <v>0</v>
      </c>
      <c r="AF55" s="232">
        <f>'4) Operating Expenses'!AR18</f>
        <v>0</v>
      </c>
      <c r="AG55" s="232">
        <f>'4) Operating Expenses'!AS18</f>
        <v>0</v>
      </c>
      <c r="AH55" s="232">
        <f>'4) Operating Expenses'!AT18</f>
        <v>0</v>
      </c>
      <c r="AI55" s="232">
        <f>'4) Operating Expenses'!AU18</f>
        <v>0</v>
      </c>
      <c r="AJ55" s="232">
        <f>'4) Operating Expenses'!AV18</f>
        <v>0</v>
      </c>
      <c r="AK55" s="232">
        <f>'4) Operating Expenses'!AW18</f>
        <v>0</v>
      </c>
      <c r="AL55" s="232">
        <f>'4) Operating Expenses'!AX18</f>
        <v>0</v>
      </c>
      <c r="AM55" s="232">
        <f>'4) Operating Expenses'!AY18</f>
        <v>0</v>
      </c>
      <c r="AN55" s="232">
        <f>'4) Operating Expenses'!AZ18</f>
        <v>0</v>
      </c>
      <c r="AO55" s="232">
        <f>'4) Operating Expenses'!BA18</f>
        <v>0</v>
      </c>
      <c r="AP55" s="232">
        <f>'4) Operating Expenses'!BB18</f>
        <v>0</v>
      </c>
      <c r="AQ55" s="232">
        <f>'4) Operating Expenses'!BC18</f>
        <v>0</v>
      </c>
      <c r="AR55" s="232">
        <f>'4) Operating Expenses'!BD18</f>
        <v>0</v>
      </c>
      <c r="AS55" s="232">
        <f>'4) Operating Expenses'!BE18</f>
        <v>0</v>
      </c>
      <c r="AT55" s="232">
        <f>'4) Operating Expenses'!BF18</f>
        <v>0</v>
      </c>
      <c r="AU55" s="232">
        <f>'4) Operating Expenses'!BG18</f>
        <v>0</v>
      </c>
      <c r="AV55" s="232">
        <f>'4) Operating Expenses'!BH18</f>
        <v>0</v>
      </c>
      <c r="AW55" s="232">
        <f>'4) Operating Expenses'!BI18</f>
        <v>0</v>
      </c>
      <c r="AX55" s="232">
        <f>'4) Operating Expenses'!BJ18</f>
        <v>0</v>
      </c>
      <c r="AY55" s="232">
        <f>'4) Operating Expenses'!BK18</f>
        <v>0</v>
      </c>
      <c r="AZ55" s="232">
        <f>'4) Operating Expenses'!BL18</f>
        <v>0</v>
      </c>
      <c r="BA55" s="232">
        <f>'4) Operating Expenses'!BM18</f>
        <v>0</v>
      </c>
      <c r="BB55" s="232">
        <f>'4) Operating Expenses'!BN18</f>
        <v>0</v>
      </c>
      <c r="BC55" s="232">
        <f>'4) Operating Expenses'!BO18</f>
        <v>0</v>
      </c>
      <c r="BD55" s="232">
        <f>'4) Operating Expenses'!BP18</f>
        <v>0</v>
      </c>
      <c r="BE55" s="232">
        <f>'4) Operating Expenses'!BQ18</f>
        <v>0</v>
      </c>
      <c r="BF55" s="232">
        <f>'4) Operating Expenses'!BR18</f>
        <v>0</v>
      </c>
      <c r="BG55" s="232">
        <f>'4) Operating Expenses'!BS18</f>
        <v>0</v>
      </c>
      <c r="BH55" s="232">
        <f>'4) Operating Expenses'!BT18</f>
        <v>0</v>
      </c>
      <c r="BI55" s="232">
        <f>'4) Operating Expenses'!BU18</f>
        <v>0</v>
      </c>
      <c r="BJ55" s="232">
        <f>'4) Operating Expenses'!BV18</f>
        <v>0</v>
      </c>
    </row>
    <row r="56" spans="1:62" s="228" customFormat="1" ht="14" hidden="1" customHeight="1">
      <c r="A56" s="187"/>
      <c r="B56" s="187" t="s">
        <v>134</v>
      </c>
      <c r="C56" s="191">
        <f>'4) Operating Expenses'!O54</f>
        <v>0</v>
      </c>
      <c r="D56" s="191">
        <f>'4) Operating Expenses'!P54</f>
        <v>0</v>
      </c>
      <c r="E56" s="191">
        <f>'4) Operating Expenses'!Q54</f>
        <v>0</v>
      </c>
      <c r="F56" s="191">
        <f>'4) Operating Expenses'!R54</f>
        <v>0</v>
      </c>
      <c r="G56" s="191">
        <f>'4) Operating Expenses'!S54</f>
        <v>0</v>
      </c>
      <c r="H56" s="191">
        <f>'4) Operating Expenses'!T54</f>
        <v>0</v>
      </c>
      <c r="I56" s="191">
        <f>'4) Operating Expenses'!U54</f>
        <v>0</v>
      </c>
      <c r="J56" s="191">
        <f>'4) Operating Expenses'!V54</f>
        <v>0</v>
      </c>
      <c r="K56" s="191">
        <f>'4) Operating Expenses'!W54</f>
        <v>0</v>
      </c>
      <c r="L56" s="191">
        <f>'4) Operating Expenses'!X54</f>
        <v>0</v>
      </c>
      <c r="M56" s="191">
        <f>'4) Operating Expenses'!Y54</f>
        <v>0</v>
      </c>
      <c r="N56" s="191">
        <f>'4) Operating Expenses'!Z54</f>
        <v>0</v>
      </c>
      <c r="O56" s="191">
        <f>'4) Operating Expenses'!AA54</f>
        <v>0</v>
      </c>
      <c r="P56" s="191">
        <f>'4) Operating Expenses'!AB54</f>
        <v>0</v>
      </c>
      <c r="Q56" s="191">
        <f>'4) Operating Expenses'!AC54</f>
        <v>0</v>
      </c>
      <c r="R56" s="191">
        <f>'4) Operating Expenses'!AD54</f>
        <v>0</v>
      </c>
      <c r="S56" s="191">
        <f>'4) Operating Expenses'!AE54</f>
        <v>0</v>
      </c>
      <c r="T56" s="191">
        <f>'4) Operating Expenses'!AF54</f>
        <v>0</v>
      </c>
      <c r="U56" s="191">
        <f>'4) Operating Expenses'!AG54</f>
        <v>0</v>
      </c>
      <c r="V56" s="191">
        <f>'4) Operating Expenses'!AH54</f>
        <v>0</v>
      </c>
      <c r="W56" s="191">
        <f>'4) Operating Expenses'!AI54</f>
        <v>0</v>
      </c>
      <c r="X56" s="191">
        <f>'4) Operating Expenses'!AJ54</f>
        <v>0</v>
      </c>
      <c r="Y56" s="191">
        <f>'4) Operating Expenses'!AK54</f>
        <v>0</v>
      </c>
      <c r="Z56" s="191">
        <f>'4) Operating Expenses'!AL54</f>
        <v>0</v>
      </c>
      <c r="AA56" s="191">
        <f>'4) Operating Expenses'!AM54</f>
        <v>0</v>
      </c>
      <c r="AB56" s="191">
        <f>'4) Operating Expenses'!AN54</f>
        <v>0</v>
      </c>
      <c r="AC56" s="191">
        <f>'4) Operating Expenses'!AO54</f>
        <v>0</v>
      </c>
      <c r="AD56" s="191">
        <f>'4) Operating Expenses'!AP54</f>
        <v>0</v>
      </c>
      <c r="AE56" s="191">
        <f>'4) Operating Expenses'!AQ54</f>
        <v>0</v>
      </c>
      <c r="AF56" s="191">
        <f>'4) Operating Expenses'!AR54</f>
        <v>0</v>
      </c>
      <c r="AG56" s="191">
        <f>'4) Operating Expenses'!AS54</f>
        <v>0</v>
      </c>
      <c r="AH56" s="191">
        <f>'4) Operating Expenses'!AT54</f>
        <v>0</v>
      </c>
      <c r="AI56" s="191">
        <f>'4) Operating Expenses'!AU54</f>
        <v>0</v>
      </c>
      <c r="AJ56" s="191">
        <f>'4) Operating Expenses'!AV54</f>
        <v>0</v>
      </c>
      <c r="AK56" s="191">
        <f>'4) Operating Expenses'!AW54</f>
        <v>0</v>
      </c>
      <c r="AL56" s="191">
        <f>'4) Operating Expenses'!AX54</f>
        <v>0</v>
      </c>
      <c r="AM56" s="191">
        <f>'4) Operating Expenses'!AY54</f>
        <v>0</v>
      </c>
      <c r="AN56" s="191">
        <f>'4) Operating Expenses'!AZ54</f>
        <v>0</v>
      </c>
      <c r="AO56" s="191">
        <f>'4) Operating Expenses'!BA54</f>
        <v>0</v>
      </c>
      <c r="AP56" s="191">
        <f>'4) Operating Expenses'!BB54</f>
        <v>0</v>
      </c>
      <c r="AQ56" s="191">
        <f>'4) Operating Expenses'!BC54</f>
        <v>0</v>
      </c>
      <c r="AR56" s="191">
        <f>'4) Operating Expenses'!BD54</f>
        <v>0</v>
      </c>
      <c r="AS56" s="191">
        <f>'4) Operating Expenses'!BE54</f>
        <v>0</v>
      </c>
      <c r="AT56" s="191">
        <f>'4) Operating Expenses'!BF54</f>
        <v>0</v>
      </c>
      <c r="AU56" s="191">
        <f>'4) Operating Expenses'!BG54</f>
        <v>0</v>
      </c>
      <c r="AV56" s="191">
        <f>'4) Operating Expenses'!BH54</f>
        <v>0</v>
      </c>
      <c r="AW56" s="191">
        <f>'4) Operating Expenses'!BI54</f>
        <v>0</v>
      </c>
      <c r="AX56" s="191">
        <f>'4) Operating Expenses'!BJ54</f>
        <v>0</v>
      </c>
      <c r="AY56" s="191">
        <f>'4) Operating Expenses'!BK54</f>
        <v>0</v>
      </c>
      <c r="AZ56" s="191">
        <f>'4) Operating Expenses'!BL54</f>
        <v>0</v>
      </c>
      <c r="BA56" s="191">
        <f>'4) Operating Expenses'!BM54</f>
        <v>0</v>
      </c>
      <c r="BB56" s="191">
        <f>'4) Operating Expenses'!BN54</f>
        <v>0</v>
      </c>
      <c r="BC56" s="191">
        <f>'4) Operating Expenses'!BO54</f>
        <v>0</v>
      </c>
      <c r="BD56" s="191">
        <f>'4) Operating Expenses'!BP54</f>
        <v>0</v>
      </c>
      <c r="BE56" s="191">
        <f>'4) Operating Expenses'!BQ54</f>
        <v>0</v>
      </c>
      <c r="BF56" s="191">
        <f>'4) Operating Expenses'!BR54</f>
        <v>0</v>
      </c>
      <c r="BG56" s="191">
        <f>'4) Operating Expenses'!BS54</f>
        <v>0</v>
      </c>
      <c r="BH56" s="191">
        <f>'4) Operating Expenses'!BT54</f>
        <v>0</v>
      </c>
      <c r="BI56" s="191">
        <f>'4) Operating Expenses'!BU54</f>
        <v>0</v>
      </c>
      <c r="BJ56" s="191">
        <f>'4) Operating Expenses'!BV54</f>
        <v>0</v>
      </c>
    </row>
    <row r="57" spans="1:62" s="228" customFormat="1" ht="14" hidden="1" customHeight="1">
      <c r="A57" s="187"/>
      <c r="B57" s="187" t="s">
        <v>135</v>
      </c>
      <c r="C57" s="191">
        <f>'4) Operating Expenses'!O66</f>
        <v>0</v>
      </c>
      <c r="D57" s="191">
        <f>'4) Operating Expenses'!P66</f>
        <v>0</v>
      </c>
      <c r="E57" s="191">
        <f>'4) Operating Expenses'!Q66</f>
        <v>0</v>
      </c>
      <c r="F57" s="191">
        <f>'4) Operating Expenses'!R66</f>
        <v>0</v>
      </c>
      <c r="G57" s="191">
        <f>'4) Operating Expenses'!S66</f>
        <v>0</v>
      </c>
      <c r="H57" s="191">
        <f>'4) Operating Expenses'!T66</f>
        <v>0</v>
      </c>
      <c r="I57" s="191">
        <f>'4) Operating Expenses'!U66</f>
        <v>0</v>
      </c>
      <c r="J57" s="191">
        <f>'4) Operating Expenses'!V66</f>
        <v>0</v>
      </c>
      <c r="K57" s="191">
        <f>'4) Operating Expenses'!W66</f>
        <v>0</v>
      </c>
      <c r="L57" s="191">
        <f>'4) Operating Expenses'!X66</f>
        <v>0</v>
      </c>
      <c r="M57" s="191">
        <f>'4) Operating Expenses'!Y66</f>
        <v>0</v>
      </c>
      <c r="N57" s="191">
        <f>'4) Operating Expenses'!Z66</f>
        <v>0</v>
      </c>
      <c r="O57" s="191">
        <f>'4) Operating Expenses'!AA66</f>
        <v>0</v>
      </c>
      <c r="P57" s="191">
        <f>'4) Operating Expenses'!AB66</f>
        <v>0</v>
      </c>
      <c r="Q57" s="191">
        <f>'4) Operating Expenses'!AC66</f>
        <v>0</v>
      </c>
      <c r="R57" s="191">
        <f>'4) Operating Expenses'!AD66</f>
        <v>0</v>
      </c>
      <c r="S57" s="191">
        <f>'4) Operating Expenses'!AE66</f>
        <v>0</v>
      </c>
      <c r="T57" s="191">
        <f>'4) Operating Expenses'!AF66</f>
        <v>0</v>
      </c>
      <c r="U57" s="191">
        <f>'4) Operating Expenses'!AG66</f>
        <v>0</v>
      </c>
      <c r="V57" s="191">
        <f>'4) Operating Expenses'!AH66</f>
        <v>0</v>
      </c>
      <c r="W57" s="191">
        <f>'4) Operating Expenses'!AI66</f>
        <v>0</v>
      </c>
      <c r="X57" s="191">
        <f>'4) Operating Expenses'!AJ66</f>
        <v>0</v>
      </c>
      <c r="Y57" s="191">
        <f>'4) Operating Expenses'!AK66</f>
        <v>0</v>
      </c>
      <c r="Z57" s="191">
        <f>'4) Operating Expenses'!AL66</f>
        <v>0</v>
      </c>
      <c r="AA57" s="191">
        <f>'4) Operating Expenses'!AM66</f>
        <v>0</v>
      </c>
      <c r="AB57" s="191">
        <f>'4) Operating Expenses'!AN66</f>
        <v>0</v>
      </c>
      <c r="AC57" s="191">
        <f>'4) Operating Expenses'!AO66</f>
        <v>0</v>
      </c>
      <c r="AD57" s="191">
        <f>'4) Operating Expenses'!AP66</f>
        <v>0</v>
      </c>
      <c r="AE57" s="191">
        <f>'4) Operating Expenses'!AQ66</f>
        <v>0</v>
      </c>
      <c r="AF57" s="191">
        <f>'4) Operating Expenses'!AR66</f>
        <v>0</v>
      </c>
      <c r="AG57" s="191">
        <f>'4) Operating Expenses'!AS66</f>
        <v>0</v>
      </c>
      <c r="AH57" s="191">
        <f>'4) Operating Expenses'!AT66</f>
        <v>0</v>
      </c>
      <c r="AI57" s="191">
        <f>'4) Operating Expenses'!AU66</f>
        <v>0</v>
      </c>
      <c r="AJ57" s="191">
        <f>'4) Operating Expenses'!AV66</f>
        <v>0</v>
      </c>
      <c r="AK57" s="191">
        <f>'4) Operating Expenses'!AW66</f>
        <v>0</v>
      </c>
      <c r="AL57" s="191">
        <f>'4) Operating Expenses'!AX66</f>
        <v>0</v>
      </c>
      <c r="AM57" s="191">
        <f>'4) Operating Expenses'!AY66</f>
        <v>0</v>
      </c>
      <c r="AN57" s="191">
        <f>'4) Operating Expenses'!AZ66</f>
        <v>0</v>
      </c>
      <c r="AO57" s="191">
        <f>'4) Operating Expenses'!BA66</f>
        <v>0</v>
      </c>
      <c r="AP57" s="191">
        <f>'4) Operating Expenses'!BB66</f>
        <v>0</v>
      </c>
      <c r="AQ57" s="191">
        <f>'4) Operating Expenses'!BC66</f>
        <v>0</v>
      </c>
      <c r="AR57" s="191">
        <f>'4) Operating Expenses'!BD66</f>
        <v>0</v>
      </c>
      <c r="AS57" s="191">
        <f>'4) Operating Expenses'!BE66</f>
        <v>0</v>
      </c>
      <c r="AT57" s="191">
        <f>'4) Operating Expenses'!BF66</f>
        <v>0</v>
      </c>
      <c r="AU57" s="191">
        <f>'4) Operating Expenses'!BG66</f>
        <v>0</v>
      </c>
      <c r="AV57" s="191">
        <f>'4) Operating Expenses'!BH66</f>
        <v>0</v>
      </c>
      <c r="AW57" s="191">
        <f>'4) Operating Expenses'!BI66</f>
        <v>0</v>
      </c>
      <c r="AX57" s="191">
        <f>'4) Operating Expenses'!BJ66</f>
        <v>0</v>
      </c>
      <c r="AY57" s="191">
        <f>'4) Operating Expenses'!BK66</f>
        <v>0</v>
      </c>
      <c r="AZ57" s="191">
        <f>'4) Operating Expenses'!BL66</f>
        <v>0</v>
      </c>
      <c r="BA57" s="191">
        <f>'4) Operating Expenses'!BM66</f>
        <v>0</v>
      </c>
      <c r="BB57" s="191">
        <f>'4) Operating Expenses'!BN66</f>
        <v>0</v>
      </c>
      <c r="BC57" s="191">
        <f>'4) Operating Expenses'!BO66</f>
        <v>0</v>
      </c>
      <c r="BD57" s="191">
        <f>'4) Operating Expenses'!BP66</f>
        <v>0</v>
      </c>
      <c r="BE57" s="191">
        <f>'4) Operating Expenses'!BQ66</f>
        <v>0</v>
      </c>
      <c r="BF57" s="191">
        <f>'4) Operating Expenses'!BR66</f>
        <v>0</v>
      </c>
      <c r="BG57" s="191">
        <f>'4) Operating Expenses'!BS66</f>
        <v>0</v>
      </c>
      <c r="BH57" s="191">
        <f>'4) Operating Expenses'!BT66</f>
        <v>0</v>
      </c>
      <c r="BI57" s="191">
        <f>'4) Operating Expenses'!BU66</f>
        <v>0</v>
      </c>
      <c r="BJ57" s="191">
        <f>'4) Operating Expenses'!BV66</f>
        <v>0</v>
      </c>
    </row>
    <row r="58" spans="1:62" s="237" customFormat="1" ht="14" customHeight="1">
      <c r="A58" s="234" t="s">
        <v>178</v>
      </c>
      <c r="B58" s="235"/>
      <c r="C58" s="236">
        <f t="shared" ref="C58:AH58" si="2">SUM(C42:C57)</f>
        <v>517500</v>
      </c>
      <c r="D58" s="236">
        <f t="shared" si="2"/>
        <v>517500</v>
      </c>
      <c r="E58" s="236">
        <f t="shared" si="2"/>
        <v>517500</v>
      </c>
      <c r="F58" s="236">
        <f t="shared" si="2"/>
        <v>517500</v>
      </c>
      <c r="G58" s="236">
        <f t="shared" si="2"/>
        <v>517500</v>
      </c>
      <c r="H58" s="236">
        <f t="shared" si="2"/>
        <v>517500</v>
      </c>
      <c r="I58" s="236">
        <f t="shared" si="2"/>
        <v>517500</v>
      </c>
      <c r="J58" s="236">
        <f t="shared" si="2"/>
        <v>517500</v>
      </c>
      <c r="K58" s="236">
        <f t="shared" si="2"/>
        <v>517500</v>
      </c>
      <c r="L58" s="236">
        <f t="shared" si="2"/>
        <v>517500</v>
      </c>
      <c r="M58" s="236">
        <f t="shared" si="2"/>
        <v>517500</v>
      </c>
      <c r="N58" s="236">
        <f t="shared" si="2"/>
        <v>517500</v>
      </c>
      <c r="O58" s="236">
        <f t="shared" si="2"/>
        <v>885625</v>
      </c>
      <c r="P58" s="236">
        <f t="shared" si="2"/>
        <v>885625</v>
      </c>
      <c r="Q58" s="236">
        <f t="shared" si="2"/>
        <v>885625</v>
      </c>
      <c r="R58" s="236">
        <f t="shared" si="2"/>
        <v>885625</v>
      </c>
      <c r="S58" s="236">
        <f t="shared" si="2"/>
        <v>885625</v>
      </c>
      <c r="T58" s="236">
        <f t="shared" si="2"/>
        <v>885625</v>
      </c>
      <c r="U58" s="236">
        <f t="shared" si="2"/>
        <v>885625</v>
      </c>
      <c r="V58" s="236">
        <f t="shared" si="2"/>
        <v>885625</v>
      </c>
      <c r="W58" s="236">
        <f t="shared" si="2"/>
        <v>885625</v>
      </c>
      <c r="X58" s="236">
        <f t="shared" si="2"/>
        <v>885625</v>
      </c>
      <c r="Y58" s="236">
        <f t="shared" si="2"/>
        <v>885625</v>
      </c>
      <c r="Z58" s="236">
        <f t="shared" si="2"/>
        <v>885625</v>
      </c>
      <c r="AA58" s="236">
        <f t="shared" si="2"/>
        <v>1578281.25</v>
      </c>
      <c r="AB58" s="236">
        <f t="shared" si="2"/>
        <v>1578281.25</v>
      </c>
      <c r="AC58" s="236">
        <f t="shared" si="2"/>
        <v>1578281.25</v>
      </c>
      <c r="AD58" s="236">
        <f t="shared" si="2"/>
        <v>1578281.25</v>
      </c>
      <c r="AE58" s="236">
        <f t="shared" si="2"/>
        <v>1578281.25</v>
      </c>
      <c r="AF58" s="236">
        <f t="shared" si="2"/>
        <v>1578281.25</v>
      </c>
      <c r="AG58" s="236">
        <f t="shared" si="2"/>
        <v>1578281.25</v>
      </c>
      <c r="AH58" s="236">
        <f t="shared" si="2"/>
        <v>1578281.25</v>
      </c>
      <c r="AI58" s="236">
        <f t="shared" ref="AI58:BJ58" si="3">SUM(AI42:AI57)</f>
        <v>1578281.25</v>
      </c>
      <c r="AJ58" s="236">
        <f t="shared" si="3"/>
        <v>1578281.25</v>
      </c>
      <c r="AK58" s="236">
        <f t="shared" si="3"/>
        <v>1578281.25</v>
      </c>
      <c r="AL58" s="236">
        <f t="shared" si="3"/>
        <v>1578281.25</v>
      </c>
      <c r="AM58" s="236">
        <f t="shared" si="3"/>
        <v>2904414.0625</v>
      </c>
      <c r="AN58" s="236">
        <f t="shared" si="3"/>
        <v>2904414.0625</v>
      </c>
      <c r="AO58" s="236">
        <f t="shared" si="3"/>
        <v>2904414.0625</v>
      </c>
      <c r="AP58" s="236">
        <f t="shared" si="3"/>
        <v>2904414.0625</v>
      </c>
      <c r="AQ58" s="236">
        <f t="shared" si="3"/>
        <v>2904414.0625</v>
      </c>
      <c r="AR58" s="236">
        <f t="shared" si="3"/>
        <v>2904414.0625</v>
      </c>
      <c r="AS58" s="236">
        <f t="shared" si="3"/>
        <v>2904414.0625</v>
      </c>
      <c r="AT58" s="236">
        <f t="shared" si="3"/>
        <v>2904414.0625</v>
      </c>
      <c r="AU58" s="236">
        <f t="shared" si="3"/>
        <v>2904414.0625</v>
      </c>
      <c r="AV58" s="236">
        <f t="shared" si="3"/>
        <v>2904414.0625</v>
      </c>
      <c r="AW58" s="236">
        <f t="shared" si="3"/>
        <v>2904414.0625</v>
      </c>
      <c r="AX58" s="236">
        <f t="shared" si="3"/>
        <v>2904414.0625</v>
      </c>
      <c r="AY58" s="236">
        <f t="shared" si="3"/>
        <v>5474501.953125</v>
      </c>
      <c r="AZ58" s="236">
        <f t="shared" si="3"/>
        <v>5474501.953125</v>
      </c>
      <c r="BA58" s="236">
        <f t="shared" si="3"/>
        <v>5474501.953125</v>
      </c>
      <c r="BB58" s="236">
        <f t="shared" si="3"/>
        <v>5474501.953125</v>
      </c>
      <c r="BC58" s="236">
        <f t="shared" si="3"/>
        <v>5474501.953125</v>
      </c>
      <c r="BD58" s="236">
        <f t="shared" si="3"/>
        <v>5474501.953125</v>
      </c>
      <c r="BE58" s="236">
        <f t="shared" si="3"/>
        <v>5474501.953125</v>
      </c>
      <c r="BF58" s="236">
        <f t="shared" si="3"/>
        <v>5474501.953125</v>
      </c>
      <c r="BG58" s="236">
        <f t="shared" si="3"/>
        <v>5474501.953125</v>
      </c>
      <c r="BH58" s="236">
        <f t="shared" si="3"/>
        <v>5474501.953125</v>
      </c>
      <c r="BI58" s="236">
        <f t="shared" si="3"/>
        <v>5474501.953125</v>
      </c>
      <c r="BJ58" s="236">
        <f t="shared" si="3"/>
        <v>5474501.953125</v>
      </c>
    </row>
    <row r="59" spans="1:62" s="228" customFormat="1" ht="14" customHeight="1">
      <c r="A59" s="238" t="s">
        <v>58</v>
      </c>
      <c r="B59" s="239"/>
      <c r="C59" s="236">
        <f t="shared" ref="C59:AH59" si="4">C40-C58</f>
        <v>-112500</v>
      </c>
      <c r="D59" s="236">
        <f t="shared" si="4"/>
        <v>-82125</v>
      </c>
      <c r="E59" s="236">
        <f t="shared" si="4"/>
        <v>-49471.875</v>
      </c>
      <c r="F59" s="236">
        <f t="shared" si="4"/>
        <v>-14369.765625</v>
      </c>
      <c r="G59" s="236">
        <f t="shared" si="4"/>
        <v>23365.001953125</v>
      </c>
      <c r="H59" s="236">
        <f t="shared" si="4"/>
        <v>63929.877099609352</v>
      </c>
      <c r="I59" s="236">
        <f t="shared" si="4"/>
        <v>107537.11788208014</v>
      </c>
      <c r="J59" s="236">
        <f t="shared" si="4"/>
        <v>154414.90172323596</v>
      </c>
      <c r="K59" s="236">
        <f t="shared" si="4"/>
        <v>204808.51935247856</v>
      </c>
      <c r="L59" s="236">
        <f t="shared" si="4"/>
        <v>258981.65830391448</v>
      </c>
      <c r="M59" s="236">
        <f t="shared" si="4"/>
        <v>317217.78267670807</v>
      </c>
      <c r="N59" s="236">
        <f t="shared" si="4"/>
        <v>379821.61637746124</v>
      </c>
      <c r="O59" s="236">
        <f t="shared" si="4"/>
        <v>78995.737605770584</v>
      </c>
      <c r="P59" s="236">
        <f t="shared" si="4"/>
        <v>151342.29292620334</v>
      </c>
      <c r="Q59" s="236">
        <f t="shared" si="4"/>
        <v>229114.83989566844</v>
      </c>
      <c r="R59" s="236">
        <f t="shared" si="4"/>
        <v>312720.32788784383</v>
      </c>
      <c r="S59" s="236">
        <f t="shared" si="4"/>
        <v>402596.22747943201</v>
      </c>
      <c r="T59" s="236">
        <f t="shared" si="4"/>
        <v>499212.81954038911</v>
      </c>
      <c r="U59" s="236">
        <f t="shared" si="4"/>
        <v>603075.65600591851</v>
      </c>
      <c r="V59" s="236">
        <f t="shared" si="4"/>
        <v>714728.20520636206</v>
      </c>
      <c r="W59" s="236">
        <f t="shared" si="4"/>
        <v>834754.69559683907</v>
      </c>
      <c r="X59" s="236">
        <f t="shared" si="4"/>
        <v>963783.17276660237</v>
      </c>
      <c r="Y59" s="236">
        <f t="shared" si="4"/>
        <v>1102488.7857240974</v>
      </c>
      <c r="Z59" s="236">
        <f t="shared" si="4"/>
        <v>1251597.3196534049</v>
      </c>
      <c r="AA59" s="236">
        <f t="shared" si="4"/>
        <v>719232.74362740945</v>
      </c>
      <c r="AB59" s="236">
        <f t="shared" si="4"/>
        <v>891546.29314946523</v>
      </c>
      <c r="AC59" s="236">
        <f t="shared" si="4"/>
        <v>1076783.3588856747</v>
      </c>
      <c r="AD59" s="236">
        <f t="shared" si="4"/>
        <v>1275913.204552101</v>
      </c>
      <c r="AE59" s="236">
        <f t="shared" si="4"/>
        <v>1489977.7886435082</v>
      </c>
      <c r="AF59" s="236">
        <f t="shared" si="4"/>
        <v>1720097.2165417708</v>
      </c>
      <c r="AG59" s="236">
        <f t="shared" si="4"/>
        <v>1967475.6015324043</v>
      </c>
      <c r="AH59" s="236">
        <f t="shared" si="4"/>
        <v>2233407.3653973336</v>
      </c>
      <c r="AI59" s="236">
        <f t="shared" ref="AI59:BJ59" si="5">AI40-AI58</f>
        <v>2519284.0115521345</v>
      </c>
      <c r="AJ59" s="236">
        <f t="shared" si="5"/>
        <v>2826601.4061685437</v>
      </c>
      <c r="AK59" s="236">
        <f t="shared" si="5"/>
        <v>3156967.6053811843</v>
      </c>
      <c r="AL59" s="236">
        <f t="shared" si="5"/>
        <v>3512111.2695347732</v>
      </c>
      <c r="AM59" s="236">
        <f t="shared" si="5"/>
        <v>2567757.8959998805</v>
      </c>
      <c r="AN59" s="236">
        <f t="shared" si="5"/>
        <v>2978170.792887371</v>
      </c>
      <c r="AO59" s="236">
        <f t="shared" si="5"/>
        <v>3419364.657041424</v>
      </c>
      <c r="AP59" s="236">
        <f t="shared" si="5"/>
        <v>3893648.0610070303</v>
      </c>
      <c r="AQ59" s="236">
        <f t="shared" si="5"/>
        <v>4403502.7202700572</v>
      </c>
      <c r="AR59" s="236">
        <f t="shared" si="5"/>
        <v>4951596.4789778115</v>
      </c>
      <c r="AS59" s="236">
        <f t="shared" si="5"/>
        <v>5540797.2695886493</v>
      </c>
      <c r="AT59" s="236">
        <f t="shared" si="5"/>
        <v>6174188.119495295</v>
      </c>
      <c r="AU59" s="236">
        <f t="shared" si="5"/>
        <v>6855083.2831449434</v>
      </c>
      <c r="AV59" s="236">
        <f t="shared" si="5"/>
        <v>7587045.5840683114</v>
      </c>
      <c r="AW59" s="236">
        <f t="shared" si="5"/>
        <v>8373905.0575609356</v>
      </c>
      <c r="AX59" s="236">
        <f t="shared" si="5"/>
        <v>9219778.991565505</v>
      </c>
      <c r="AY59" s="236">
        <f t="shared" si="5"/>
        <v>7559005.5799954198</v>
      </c>
      <c r="AZ59" s="236">
        <f t="shared" si="5"/>
        <v>8536518.6449794471</v>
      </c>
      <c r="BA59" s="236">
        <f t="shared" si="5"/>
        <v>9587345.1898372807</v>
      </c>
      <c r="BB59" s="236">
        <f t="shared" si="5"/>
        <v>10716983.725559456</v>
      </c>
      <c r="BC59" s="236">
        <f t="shared" si="5"/>
        <v>11931345.151460785</v>
      </c>
      <c r="BD59" s="236">
        <f t="shared" si="5"/>
        <v>13236783.684304718</v>
      </c>
      <c r="BE59" s="236">
        <f t="shared" si="5"/>
        <v>14640130.107111946</v>
      </c>
      <c r="BF59" s="236">
        <f t="shared" si="5"/>
        <v>16148727.511629719</v>
      </c>
      <c r="BG59" s="236">
        <f t="shared" si="5"/>
        <v>17770469.721486319</v>
      </c>
      <c r="BH59" s="236">
        <f t="shared" si="5"/>
        <v>19513842.597082164</v>
      </c>
      <c r="BI59" s="236">
        <f t="shared" si="5"/>
        <v>21387968.438347705</v>
      </c>
      <c r="BJ59" s="236">
        <f t="shared" si="5"/>
        <v>23402653.717708152</v>
      </c>
    </row>
    <row r="60" spans="1:62" s="228" customFormat="1" ht="14" customHeight="1">
      <c r="A60" s="187"/>
      <c r="B60" s="187" t="s">
        <v>97</v>
      </c>
      <c r="C60" s="191">
        <f>'5) Amortization of PPE'!F7+'5) Amortization of PPE'!F24</f>
        <v>229166.66666666666</v>
      </c>
      <c r="D60" s="191">
        <f>'5) Amortization of PPE'!G7+'5) Amortization of PPE'!G24</f>
        <v>229166.66666666666</v>
      </c>
      <c r="E60" s="191">
        <f>'5) Amortization of PPE'!H7+'5) Amortization of PPE'!H24</f>
        <v>229166.66666666666</v>
      </c>
      <c r="F60" s="191">
        <f>'5) Amortization of PPE'!I7+'5) Amortization of PPE'!I24</f>
        <v>229166.66666666666</v>
      </c>
      <c r="G60" s="191">
        <f>'5) Amortization of PPE'!J7+'5) Amortization of PPE'!J24</f>
        <v>229166.66666666666</v>
      </c>
      <c r="H60" s="191">
        <f>'5) Amortization of PPE'!K7+'5) Amortization of PPE'!K24</f>
        <v>229166.66666666666</v>
      </c>
      <c r="I60" s="191">
        <f>'5) Amortization of PPE'!L7+'5) Amortization of PPE'!L24</f>
        <v>229166.66666666666</v>
      </c>
      <c r="J60" s="191">
        <f>'5) Amortization of PPE'!M7+'5) Amortization of PPE'!M24</f>
        <v>229166.66666666666</v>
      </c>
      <c r="K60" s="191">
        <f>'5) Amortization of PPE'!N7+'5) Amortization of PPE'!N24</f>
        <v>229166.66666666666</v>
      </c>
      <c r="L60" s="191">
        <f>'5) Amortization of PPE'!O7+'5) Amortization of PPE'!O24</f>
        <v>229166.66666666666</v>
      </c>
      <c r="M60" s="191">
        <f>'5) Amortization of PPE'!P7+'5) Amortization of PPE'!P24</f>
        <v>229166.66666666666</v>
      </c>
      <c r="N60" s="191">
        <f>'5) Amortization of PPE'!Q7+'5) Amortization of PPE'!Q24</f>
        <v>229166.66666666666</v>
      </c>
      <c r="O60" s="191">
        <f>'5) Amortization of PPE'!R7+'5) Amortization of PPE'!R24</f>
        <v>229166.66666666666</v>
      </c>
      <c r="P60" s="191">
        <f>'5) Amortization of PPE'!S7+'5) Amortization of PPE'!S24</f>
        <v>229166.66666666666</v>
      </c>
      <c r="Q60" s="191">
        <f>'5) Amortization of PPE'!T7+'5) Amortization of PPE'!T24</f>
        <v>229166.66666666666</v>
      </c>
      <c r="R60" s="191">
        <f>'5) Amortization of PPE'!U7+'5) Amortization of PPE'!U24</f>
        <v>229166.66666666666</v>
      </c>
      <c r="S60" s="191">
        <f>'5) Amortization of PPE'!V7+'5) Amortization of PPE'!V24</f>
        <v>229166.66666666666</v>
      </c>
      <c r="T60" s="191">
        <f>'5) Amortization of PPE'!W7+'5) Amortization of PPE'!W24</f>
        <v>229166.66666666666</v>
      </c>
      <c r="U60" s="191">
        <f>'5) Amortization of PPE'!X7+'5) Amortization of PPE'!X24</f>
        <v>229166.66666666666</v>
      </c>
      <c r="V60" s="191">
        <f>'5) Amortization of PPE'!Y7+'5) Amortization of PPE'!Y24</f>
        <v>229166.66666666666</v>
      </c>
      <c r="W60" s="191">
        <f>'5) Amortization of PPE'!Z7+'5) Amortization of PPE'!Z24</f>
        <v>229166.66666666666</v>
      </c>
      <c r="X60" s="191">
        <f>'5) Amortization of PPE'!AA7+'5) Amortization of PPE'!AA24</f>
        <v>229166.66666666666</v>
      </c>
      <c r="Y60" s="191">
        <f>'5) Amortization of PPE'!AB7+'5) Amortization of PPE'!AB24</f>
        <v>229166.66666666666</v>
      </c>
      <c r="Z60" s="191">
        <f>'5) Amortization of PPE'!AC7+'5) Amortization of PPE'!AC24</f>
        <v>229166.66666666666</v>
      </c>
      <c r="AA60" s="191">
        <f>'5) Amortization of PPE'!AD7+'5) Amortization of PPE'!AD24</f>
        <v>229166.66666666666</v>
      </c>
      <c r="AB60" s="191">
        <f>'5) Amortization of PPE'!AE7+'5) Amortization of PPE'!AE24</f>
        <v>229166.66666666666</v>
      </c>
      <c r="AC60" s="191">
        <f>'5) Amortization of PPE'!AF7+'5) Amortization of PPE'!AF24</f>
        <v>229166.66666666666</v>
      </c>
      <c r="AD60" s="191">
        <f>'5) Amortization of PPE'!AG7+'5) Amortization of PPE'!AG24</f>
        <v>229166.66666666666</v>
      </c>
      <c r="AE60" s="191">
        <f>'5) Amortization of PPE'!AH7+'5) Amortization of PPE'!AH24</f>
        <v>229166.66666666666</v>
      </c>
      <c r="AF60" s="191">
        <f>'5) Amortization of PPE'!AI7+'5) Amortization of PPE'!AI24</f>
        <v>229166.66666666666</v>
      </c>
      <c r="AG60" s="191">
        <f>'5) Amortization of PPE'!AJ7+'5) Amortization of PPE'!AJ24</f>
        <v>229166.66666666666</v>
      </c>
      <c r="AH60" s="191">
        <f>'5) Amortization of PPE'!AK7+'5) Amortization of PPE'!AK24</f>
        <v>229166.66666666666</v>
      </c>
      <c r="AI60" s="191">
        <f>'5) Amortization of PPE'!AL7+'5) Amortization of PPE'!AL24</f>
        <v>229166.66666666666</v>
      </c>
      <c r="AJ60" s="191">
        <f>'5) Amortization of PPE'!AM7+'5) Amortization of PPE'!AM24</f>
        <v>229166.66666666666</v>
      </c>
      <c r="AK60" s="191">
        <f>'5) Amortization of PPE'!AN7+'5) Amortization of PPE'!AN24</f>
        <v>229166.66666666666</v>
      </c>
      <c r="AL60" s="191">
        <f>'5) Amortization of PPE'!AO7+'5) Amortization of PPE'!AO24</f>
        <v>229166.66666666666</v>
      </c>
      <c r="AM60" s="191">
        <f>'5) Amortization of PPE'!AP7+'5) Amortization of PPE'!AP24</f>
        <v>229166.66666666666</v>
      </c>
      <c r="AN60" s="191">
        <f>'5) Amortization of PPE'!AQ7+'5) Amortization of PPE'!AQ24</f>
        <v>229166.66666666666</v>
      </c>
      <c r="AO60" s="191">
        <f>'5) Amortization of PPE'!AR7+'5) Amortization of PPE'!AR24</f>
        <v>229166.66666666666</v>
      </c>
      <c r="AP60" s="191">
        <f>'5) Amortization of PPE'!AS7+'5) Amortization of PPE'!AS24</f>
        <v>229166.66666666666</v>
      </c>
      <c r="AQ60" s="191">
        <f>'5) Amortization of PPE'!AT7+'5) Amortization of PPE'!AT24</f>
        <v>229166.66666666666</v>
      </c>
      <c r="AR60" s="191">
        <f>'5) Amortization of PPE'!AU7+'5) Amortization of PPE'!AU24</f>
        <v>229166.66666666666</v>
      </c>
      <c r="AS60" s="191">
        <f>'5) Amortization of PPE'!AV7+'5) Amortization of PPE'!AV24</f>
        <v>229166.66666666666</v>
      </c>
      <c r="AT60" s="191">
        <f>'5) Amortization of PPE'!AW7+'5) Amortization of PPE'!AW24</f>
        <v>229166.66666666666</v>
      </c>
      <c r="AU60" s="191">
        <f>'5) Amortization of PPE'!AX7+'5) Amortization of PPE'!AX24</f>
        <v>229166.66666666666</v>
      </c>
      <c r="AV60" s="191">
        <f>'5) Amortization of PPE'!AY7+'5) Amortization of PPE'!AY24</f>
        <v>229166.66666666666</v>
      </c>
      <c r="AW60" s="191">
        <f>'5) Amortization of PPE'!AZ7+'5) Amortization of PPE'!AZ24</f>
        <v>229166.66666666666</v>
      </c>
      <c r="AX60" s="191">
        <f>'5) Amortization of PPE'!BA7+'5) Amortization of PPE'!BA24</f>
        <v>229166.66666666666</v>
      </c>
      <c r="AY60" s="191">
        <f>'5) Amortization of PPE'!BB7+'5) Amortization of PPE'!BB24</f>
        <v>229166.66666666666</v>
      </c>
      <c r="AZ60" s="191">
        <f>'5) Amortization of PPE'!BC7+'5) Amortization of PPE'!BC24</f>
        <v>229166.66666666666</v>
      </c>
      <c r="BA60" s="191">
        <f>'5) Amortization of PPE'!BD7+'5) Amortization of PPE'!BD24</f>
        <v>229166.66666666666</v>
      </c>
      <c r="BB60" s="191">
        <f>'5) Amortization of PPE'!BE7+'5) Amortization of PPE'!BE24</f>
        <v>229166.66666666666</v>
      </c>
      <c r="BC60" s="191">
        <f>'5) Amortization of PPE'!BF7+'5) Amortization of PPE'!BF24</f>
        <v>229166.66666666666</v>
      </c>
      <c r="BD60" s="191">
        <f>'5) Amortization of PPE'!BG7+'5) Amortization of PPE'!BG24</f>
        <v>229166.66666666666</v>
      </c>
      <c r="BE60" s="191">
        <f>'5) Amortization of PPE'!BH7+'5) Amortization of PPE'!BH24</f>
        <v>229166.66666666666</v>
      </c>
      <c r="BF60" s="191">
        <f>'5) Amortization of PPE'!BI7+'5) Amortization of PPE'!BI24</f>
        <v>229166.66666666666</v>
      </c>
      <c r="BG60" s="191">
        <f>'5) Amortization of PPE'!BJ7+'5) Amortization of PPE'!BJ24</f>
        <v>229166.66666666666</v>
      </c>
      <c r="BH60" s="191">
        <f>'5) Amortization of PPE'!BK7+'5) Amortization of PPE'!BK24</f>
        <v>229166.66666666666</v>
      </c>
      <c r="BI60" s="191">
        <f>'5) Amortization of PPE'!BL7+'5) Amortization of PPE'!BL24</f>
        <v>229166.66666666666</v>
      </c>
      <c r="BJ60" s="191">
        <f>'5) Amortization of PPE'!BM7+'5) Amortization of PPE'!BM24</f>
        <v>229166.66666666666</v>
      </c>
    </row>
    <row r="61" spans="1:62" s="228" customFormat="1" ht="14" customHeight="1">
      <c r="A61" s="187"/>
      <c r="B61" s="187" t="s">
        <v>98</v>
      </c>
      <c r="C61" s="191">
        <f>'Loan Amortization Schedule'!D11+'Loan Amortization Schedule'!D22+'Loan Amortization Schedule'!D33+'Loan Amortization Schedule'!D44</f>
        <v>0</v>
      </c>
      <c r="D61" s="191">
        <f>'Loan Amortization Schedule'!E11+'Loan Amortization Schedule'!E22+'Loan Amortization Schedule'!E33+'Loan Amortization Schedule'!E44</f>
        <v>0</v>
      </c>
      <c r="E61" s="191">
        <f>'Loan Amortization Schedule'!F11+'Loan Amortization Schedule'!F22+'Loan Amortization Schedule'!F33+'Loan Amortization Schedule'!F44</f>
        <v>0</v>
      </c>
      <c r="F61" s="191">
        <f>'Loan Amortization Schedule'!G11+'Loan Amortization Schedule'!G22+'Loan Amortization Schedule'!G33+'Loan Amortization Schedule'!G44</f>
        <v>0</v>
      </c>
      <c r="G61" s="191">
        <f>'Loan Amortization Schedule'!H11+'Loan Amortization Schedule'!H22+'Loan Amortization Schedule'!H33+'Loan Amortization Schedule'!H44</f>
        <v>0</v>
      </c>
      <c r="H61" s="191">
        <f>'Loan Amortization Schedule'!I11+'Loan Amortization Schedule'!I22+'Loan Amortization Schedule'!I33+'Loan Amortization Schedule'!I44</f>
        <v>0</v>
      </c>
      <c r="I61" s="191">
        <f>'Loan Amortization Schedule'!J11+'Loan Amortization Schedule'!J22+'Loan Amortization Schedule'!J33+'Loan Amortization Schedule'!J44</f>
        <v>0</v>
      </c>
      <c r="J61" s="191">
        <f>'Loan Amortization Schedule'!K11+'Loan Amortization Schedule'!K22+'Loan Amortization Schedule'!K33+'Loan Amortization Schedule'!K44</f>
        <v>0</v>
      </c>
      <c r="K61" s="191">
        <f>'Loan Amortization Schedule'!L11+'Loan Amortization Schedule'!L22+'Loan Amortization Schedule'!L33+'Loan Amortization Schedule'!L44</f>
        <v>0</v>
      </c>
      <c r="L61" s="191">
        <f>'Loan Amortization Schedule'!M11+'Loan Amortization Schedule'!M22+'Loan Amortization Schedule'!M33+'Loan Amortization Schedule'!M44</f>
        <v>0</v>
      </c>
      <c r="M61" s="191">
        <f>'Loan Amortization Schedule'!N11+'Loan Amortization Schedule'!N22+'Loan Amortization Schedule'!N33+'Loan Amortization Schedule'!N44</f>
        <v>0</v>
      </c>
      <c r="N61" s="191">
        <f>'Loan Amortization Schedule'!O11+'Loan Amortization Schedule'!O22+'Loan Amortization Schedule'!O33+'Loan Amortization Schedule'!O44</f>
        <v>0</v>
      </c>
      <c r="O61" s="191">
        <f>'Loan Amortization Schedule'!P11+'Loan Amortization Schedule'!P22+'Loan Amortization Schedule'!P33+'Loan Amortization Schedule'!P44</f>
        <v>0</v>
      </c>
      <c r="P61" s="191">
        <f>'Loan Amortization Schedule'!Q11+'Loan Amortization Schedule'!Q22+'Loan Amortization Schedule'!Q33+'Loan Amortization Schedule'!Q44</f>
        <v>0</v>
      </c>
      <c r="Q61" s="191">
        <f>'Loan Amortization Schedule'!R11+'Loan Amortization Schedule'!R22+'Loan Amortization Schedule'!R33+'Loan Amortization Schedule'!R44</f>
        <v>0</v>
      </c>
      <c r="R61" s="191">
        <f>'Loan Amortization Schedule'!S11+'Loan Amortization Schedule'!S22+'Loan Amortization Schedule'!S33+'Loan Amortization Schedule'!S44</f>
        <v>0</v>
      </c>
      <c r="S61" s="191">
        <f>'Loan Amortization Schedule'!T11+'Loan Amortization Schedule'!T22+'Loan Amortization Schedule'!T33+'Loan Amortization Schedule'!T44</f>
        <v>0</v>
      </c>
      <c r="T61" s="191">
        <f>'Loan Amortization Schedule'!U11+'Loan Amortization Schedule'!U22+'Loan Amortization Schedule'!U33+'Loan Amortization Schedule'!U44</f>
        <v>0</v>
      </c>
      <c r="U61" s="191">
        <f>'Loan Amortization Schedule'!V11+'Loan Amortization Schedule'!V22+'Loan Amortization Schedule'!V33+'Loan Amortization Schedule'!V44</f>
        <v>0</v>
      </c>
      <c r="V61" s="191">
        <f>'Loan Amortization Schedule'!W11+'Loan Amortization Schedule'!W22+'Loan Amortization Schedule'!W33+'Loan Amortization Schedule'!W44</f>
        <v>0</v>
      </c>
      <c r="W61" s="191">
        <f>'Loan Amortization Schedule'!X11+'Loan Amortization Schedule'!X22+'Loan Amortization Schedule'!X33+'Loan Amortization Schedule'!X44</f>
        <v>0</v>
      </c>
      <c r="X61" s="191">
        <f>'Loan Amortization Schedule'!Y11+'Loan Amortization Schedule'!Y22+'Loan Amortization Schedule'!Y33+'Loan Amortization Schedule'!Y44</f>
        <v>0</v>
      </c>
      <c r="Y61" s="191">
        <f>'Loan Amortization Schedule'!Z11+'Loan Amortization Schedule'!Z22+'Loan Amortization Schedule'!Z33+'Loan Amortization Schedule'!Z44</f>
        <v>0</v>
      </c>
      <c r="Z61" s="191">
        <f>'Loan Amortization Schedule'!AA11+'Loan Amortization Schedule'!AA22+'Loan Amortization Schedule'!AA33+'Loan Amortization Schedule'!AA44</f>
        <v>0</v>
      </c>
      <c r="AA61" s="191">
        <f>'Loan Amortization Schedule'!AB11+'Loan Amortization Schedule'!AB22+'Loan Amortization Schedule'!AB33+'Loan Amortization Schedule'!AB44</f>
        <v>0</v>
      </c>
      <c r="AB61" s="191">
        <f>'Loan Amortization Schedule'!AC11+'Loan Amortization Schedule'!AC22+'Loan Amortization Schedule'!AC33+'Loan Amortization Schedule'!AC44</f>
        <v>0</v>
      </c>
      <c r="AC61" s="191">
        <f>'Loan Amortization Schedule'!AD11+'Loan Amortization Schedule'!AD22+'Loan Amortization Schedule'!AD33+'Loan Amortization Schedule'!AD44</f>
        <v>0</v>
      </c>
      <c r="AD61" s="191">
        <f>'Loan Amortization Schedule'!AE11+'Loan Amortization Schedule'!AE22+'Loan Amortization Schedule'!AE33+'Loan Amortization Schedule'!AE44</f>
        <v>0</v>
      </c>
      <c r="AE61" s="191">
        <f>'Loan Amortization Schedule'!AF11+'Loan Amortization Schedule'!AF22+'Loan Amortization Schedule'!AF33+'Loan Amortization Schedule'!AF44</f>
        <v>0</v>
      </c>
      <c r="AF61" s="191">
        <f>'Loan Amortization Schedule'!AG11+'Loan Amortization Schedule'!AG22+'Loan Amortization Schedule'!AG33+'Loan Amortization Schedule'!AG44</f>
        <v>0</v>
      </c>
      <c r="AG61" s="191">
        <f>'Loan Amortization Schedule'!AH11+'Loan Amortization Schedule'!AH22+'Loan Amortization Schedule'!AH33+'Loan Amortization Schedule'!AH44</f>
        <v>0</v>
      </c>
      <c r="AH61" s="191">
        <f>'Loan Amortization Schedule'!AI11+'Loan Amortization Schedule'!AI22+'Loan Amortization Schedule'!AI33+'Loan Amortization Schedule'!AI44</f>
        <v>0</v>
      </c>
      <c r="AI61" s="191">
        <f>'Loan Amortization Schedule'!AJ11+'Loan Amortization Schedule'!AJ22+'Loan Amortization Schedule'!AJ33+'Loan Amortization Schedule'!AJ44</f>
        <v>0</v>
      </c>
      <c r="AJ61" s="191">
        <f>'Loan Amortization Schedule'!AK11+'Loan Amortization Schedule'!AK22+'Loan Amortization Schedule'!AK33+'Loan Amortization Schedule'!AK44</f>
        <v>0</v>
      </c>
      <c r="AK61" s="191">
        <f>'Loan Amortization Schedule'!AL11+'Loan Amortization Schedule'!AL22+'Loan Amortization Schedule'!AL33+'Loan Amortization Schedule'!AL44</f>
        <v>0</v>
      </c>
      <c r="AL61" s="191">
        <f>'Loan Amortization Schedule'!AM11+'Loan Amortization Schedule'!AM22+'Loan Amortization Schedule'!AM33+'Loan Amortization Schedule'!AM44</f>
        <v>0</v>
      </c>
      <c r="AM61" s="191">
        <f>'Loan Amortization Schedule'!AN11+'Loan Amortization Schedule'!AN22+'Loan Amortization Schedule'!AN33+'Loan Amortization Schedule'!AN44</f>
        <v>0</v>
      </c>
      <c r="AN61" s="191">
        <f>'Loan Amortization Schedule'!AO11+'Loan Amortization Schedule'!AO22+'Loan Amortization Schedule'!AO33+'Loan Amortization Schedule'!AO44</f>
        <v>0</v>
      </c>
      <c r="AO61" s="191">
        <f>'Loan Amortization Schedule'!AP11+'Loan Amortization Schedule'!AP22+'Loan Amortization Schedule'!AP33+'Loan Amortization Schedule'!AP44</f>
        <v>0</v>
      </c>
      <c r="AP61" s="191">
        <f>'Loan Amortization Schedule'!AQ11+'Loan Amortization Schedule'!AQ22+'Loan Amortization Schedule'!AQ33+'Loan Amortization Schedule'!AQ44</f>
        <v>0</v>
      </c>
      <c r="AQ61" s="191">
        <f>'Loan Amortization Schedule'!AR11+'Loan Amortization Schedule'!AR22+'Loan Amortization Schedule'!AR33+'Loan Amortization Schedule'!AR44</f>
        <v>0</v>
      </c>
      <c r="AR61" s="191">
        <f>'Loan Amortization Schedule'!AS11+'Loan Amortization Schedule'!AS22+'Loan Amortization Schedule'!AS33+'Loan Amortization Schedule'!AS44</f>
        <v>0</v>
      </c>
      <c r="AS61" s="191">
        <f>'Loan Amortization Schedule'!AT11+'Loan Amortization Schedule'!AT22+'Loan Amortization Schedule'!AT33+'Loan Amortization Schedule'!AT44</f>
        <v>0</v>
      </c>
      <c r="AT61" s="191">
        <f>'Loan Amortization Schedule'!AU11+'Loan Amortization Schedule'!AU22+'Loan Amortization Schedule'!AU33+'Loan Amortization Schedule'!AU44</f>
        <v>0</v>
      </c>
      <c r="AU61" s="191">
        <f>'Loan Amortization Schedule'!AV11+'Loan Amortization Schedule'!AV22+'Loan Amortization Schedule'!AV33+'Loan Amortization Schedule'!AV44</f>
        <v>0</v>
      </c>
      <c r="AV61" s="191">
        <f>'Loan Amortization Schedule'!AW11+'Loan Amortization Schedule'!AW22+'Loan Amortization Schedule'!AW33+'Loan Amortization Schedule'!AW44</f>
        <v>0</v>
      </c>
      <c r="AW61" s="191">
        <f>'Loan Amortization Schedule'!AX11+'Loan Amortization Schedule'!AX22+'Loan Amortization Schedule'!AX33+'Loan Amortization Schedule'!AX44</f>
        <v>0</v>
      </c>
      <c r="AX61" s="191">
        <f>'Loan Amortization Schedule'!AY11+'Loan Amortization Schedule'!AY22+'Loan Amortization Schedule'!AY33+'Loan Amortization Schedule'!AY44</f>
        <v>0</v>
      </c>
      <c r="AY61" s="191">
        <f>'Loan Amortization Schedule'!AZ11+'Loan Amortization Schedule'!AZ22+'Loan Amortization Schedule'!AZ33+'Loan Amortization Schedule'!AZ44</f>
        <v>0</v>
      </c>
      <c r="AZ61" s="191">
        <f>'Loan Amortization Schedule'!BA11+'Loan Amortization Schedule'!BA22+'Loan Amortization Schedule'!BA33+'Loan Amortization Schedule'!BA44</f>
        <v>0</v>
      </c>
      <c r="BA61" s="191">
        <f>'Loan Amortization Schedule'!BB11+'Loan Amortization Schedule'!BB22+'Loan Amortization Schedule'!BB33+'Loan Amortization Schedule'!BB44</f>
        <v>0</v>
      </c>
      <c r="BB61" s="191">
        <f>'Loan Amortization Schedule'!BC11+'Loan Amortization Schedule'!BC22+'Loan Amortization Schedule'!BC33+'Loan Amortization Schedule'!BC44</f>
        <v>0</v>
      </c>
      <c r="BC61" s="191">
        <f>'Loan Amortization Schedule'!BD11+'Loan Amortization Schedule'!BD22+'Loan Amortization Schedule'!BD33+'Loan Amortization Schedule'!BD44</f>
        <v>0</v>
      </c>
      <c r="BD61" s="191">
        <f>'Loan Amortization Schedule'!BE11+'Loan Amortization Schedule'!BE22+'Loan Amortization Schedule'!BE33+'Loan Amortization Schedule'!BE44</f>
        <v>0</v>
      </c>
      <c r="BE61" s="191">
        <f>'Loan Amortization Schedule'!BF11+'Loan Amortization Schedule'!BF22+'Loan Amortization Schedule'!BF33+'Loan Amortization Schedule'!BF44</f>
        <v>0</v>
      </c>
      <c r="BF61" s="191">
        <f>'Loan Amortization Schedule'!BG11+'Loan Amortization Schedule'!BG22+'Loan Amortization Schedule'!BG33+'Loan Amortization Schedule'!BG44</f>
        <v>0</v>
      </c>
      <c r="BG61" s="191">
        <f>'Loan Amortization Schedule'!BH11+'Loan Amortization Schedule'!BH22+'Loan Amortization Schedule'!BH33+'Loan Amortization Schedule'!BH44</f>
        <v>0</v>
      </c>
      <c r="BH61" s="191">
        <f>'Loan Amortization Schedule'!BI11+'Loan Amortization Schedule'!BI22+'Loan Amortization Schedule'!BI33+'Loan Amortization Schedule'!BI44</f>
        <v>0</v>
      </c>
      <c r="BI61" s="191">
        <f>'Loan Amortization Schedule'!BJ11+'Loan Amortization Schedule'!BJ22+'Loan Amortization Schedule'!BJ33+'Loan Amortization Schedule'!BJ44</f>
        <v>0</v>
      </c>
      <c r="BJ61" s="191">
        <f>'Loan Amortization Schedule'!BK11+'Loan Amortization Schedule'!BK22+'Loan Amortization Schedule'!BK33+'Loan Amortization Schedule'!BK44</f>
        <v>0</v>
      </c>
    </row>
    <row r="62" spans="1:62" s="228" customFormat="1" ht="14" customHeight="1">
      <c r="A62" s="238" t="s">
        <v>57</v>
      </c>
      <c r="B62" s="239"/>
      <c r="C62" s="236">
        <f t="shared" ref="C62:AH62" si="6">C59-C60-C61</f>
        <v>-341666.66666666663</v>
      </c>
      <c r="D62" s="236">
        <f t="shared" si="6"/>
        <v>-311291.66666666663</v>
      </c>
      <c r="E62" s="236">
        <f t="shared" si="6"/>
        <v>-278638.54166666663</v>
      </c>
      <c r="F62" s="236">
        <f t="shared" si="6"/>
        <v>-243536.43229166666</v>
      </c>
      <c r="G62" s="236">
        <f t="shared" si="6"/>
        <v>-205801.66471354166</v>
      </c>
      <c r="H62" s="236">
        <f t="shared" si="6"/>
        <v>-165236.78956705731</v>
      </c>
      <c r="I62" s="236">
        <f t="shared" si="6"/>
        <v>-121629.54878458651</v>
      </c>
      <c r="J62" s="236">
        <f t="shared" si="6"/>
        <v>-74751.764943430695</v>
      </c>
      <c r="K62" s="236">
        <f t="shared" si="6"/>
        <v>-24358.1473141881</v>
      </c>
      <c r="L62" s="236">
        <f t="shared" si="6"/>
        <v>29814.991637247818</v>
      </c>
      <c r="M62" s="236">
        <f t="shared" si="6"/>
        <v>88051.116010041413</v>
      </c>
      <c r="N62" s="236">
        <f t="shared" si="6"/>
        <v>150654.94971079458</v>
      </c>
      <c r="O62" s="236">
        <f t="shared" si="6"/>
        <v>-150170.92906089607</v>
      </c>
      <c r="P62" s="236">
        <f t="shared" si="6"/>
        <v>-77824.373740463314</v>
      </c>
      <c r="Q62" s="236">
        <f t="shared" si="6"/>
        <v>-51.826770998217398</v>
      </c>
      <c r="R62" s="236">
        <f t="shared" si="6"/>
        <v>83553.661221177172</v>
      </c>
      <c r="S62" s="236">
        <f t="shared" si="6"/>
        <v>173429.56081276535</v>
      </c>
      <c r="T62" s="236">
        <f t="shared" si="6"/>
        <v>270046.15287372249</v>
      </c>
      <c r="U62" s="236">
        <f t="shared" si="6"/>
        <v>373908.98933925189</v>
      </c>
      <c r="V62" s="236">
        <f t="shared" si="6"/>
        <v>485561.53853969544</v>
      </c>
      <c r="W62" s="236">
        <f t="shared" si="6"/>
        <v>605588.02893017244</v>
      </c>
      <c r="X62" s="236">
        <f t="shared" si="6"/>
        <v>734616.50609993574</v>
      </c>
      <c r="Y62" s="236">
        <f t="shared" si="6"/>
        <v>873322.11905743077</v>
      </c>
      <c r="Z62" s="236">
        <f t="shared" si="6"/>
        <v>1022430.6529867382</v>
      </c>
      <c r="AA62" s="236">
        <f t="shared" si="6"/>
        <v>490066.07696074282</v>
      </c>
      <c r="AB62" s="236">
        <f t="shared" si="6"/>
        <v>662379.6264827986</v>
      </c>
      <c r="AC62" s="236">
        <f t="shared" si="6"/>
        <v>847616.69221900811</v>
      </c>
      <c r="AD62" s="236">
        <f t="shared" si="6"/>
        <v>1046746.5378854343</v>
      </c>
      <c r="AE62" s="236">
        <f t="shared" si="6"/>
        <v>1260811.1219768415</v>
      </c>
      <c r="AF62" s="236">
        <f t="shared" si="6"/>
        <v>1490930.5498751041</v>
      </c>
      <c r="AG62" s="236">
        <f t="shared" si="6"/>
        <v>1738308.9348657376</v>
      </c>
      <c r="AH62" s="236">
        <f t="shared" si="6"/>
        <v>2004240.6987306669</v>
      </c>
      <c r="AI62" s="236">
        <f t="shared" ref="AI62:BJ62" si="7">AI59-AI60-AI61</f>
        <v>2290117.344885468</v>
      </c>
      <c r="AJ62" s="236">
        <f t="shared" si="7"/>
        <v>2597434.7395018772</v>
      </c>
      <c r="AK62" s="236">
        <f t="shared" si="7"/>
        <v>2927800.9387145177</v>
      </c>
      <c r="AL62" s="236">
        <f t="shared" si="7"/>
        <v>3282944.6028681067</v>
      </c>
      <c r="AM62" s="236">
        <f t="shared" si="7"/>
        <v>2338591.229333214</v>
      </c>
      <c r="AN62" s="236">
        <f t="shared" si="7"/>
        <v>2749004.1262207045</v>
      </c>
      <c r="AO62" s="236">
        <f t="shared" si="7"/>
        <v>3190197.9903747574</v>
      </c>
      <c r="AP62" s="236">
        <f t="shared" si="7"/>
        <v>3664481.3943403638</v>
      </c>
      <c r="AQ62" s="236">
        <f t="shared" si="7"/>
        <v>4174336.0536033907</v>
      </c>
      <c r="AR62" s="236">
        <f t="shared" si="7"/>
        <v>4722429.8123111445</v>
      </c>
      <c r="AS62" s="236">
        <f t="shared" si="7"/>
        <v>5311630.6029219823</v>
      </c>
      <c r="AT62" s="236">
        <f t="shared" si="7"/>
        <v>5945021.452828628</v>
      </c>
      <c r="AU62" s="236">
        <f t="shared" si="7"/>
        <v>6625916.6164782764</v>
      </c>
      <c r="AV62" s="236">
        <f t="shared" si="7"/>
        <v>7357878.9174016444</v>
      </c>
      <c r="AW62" s="236">
        <f t="shared" si="7"/>
        <v>8144738.3908942686</v>
      </c>
      <c r="AX62" s="236">
        <f t="shared" si="7"/>
        <v>8990612.324898839</v>
      </c>
      <c r="AY62" s="236">
        <f t="shared" si="7"/>
        <v>7329838.9133287529</v>
      </c>
      <c r="AZ62" s="236">
        <f t="shared" si="7"/>
        <v>8307351.9783127801</v>
      </c>
      <c r="BA62" s="236">
        <f t="shared" si="7"/>
        <v>9358178.5231706146</v>
      </c>
      <c r="BB62" s="236">
        <f t="shared" si="7"/>
        <v>10487817.05889279</v>
      </c>
      <c r="BC62" s="236">
        <f t="shared" si="7"/>
        <v>11702178.484794119</v>
      </c>
      <c r="BD62" s="236">
        <f t="shared" si="7"/>
        <v>13007617.017638052</v>
      </c>
      <c r="BE62" s="236">
        <f t="shared" si="7"/>
        <v>14410963.44044528</v>
      </c>
      <c r="BF62" s="236">
        <f t="shared" si="7"/>
        <v>15919560.844963053</v>
      </c>
      <c r="BG62" s="236">
        <f t="shared" si="7"/>
        <v>17541303.054819651</v>
      </c>
      <c r="BH62" s="236">
        <f t="shared" si="7"/>
        <v>19284675.930415496</v>
      </c>
      <c r="BI62" s="236">
        <f t="shared" si="7"/>
        <v>21158801.771681037</v>
      </c>
      <c r="BJ62" s="236">
        <f t="shared" si="7"/>
        <v>23173487.051041484</v>
      </c>
    </row>
    <row r="63" spans="1:62" s="228" customFormat="1" ht="14" customHeight="1">
      <c r="A63" s="187"/>
      <c r="B63" s="187" t="s">
        <v>32</v>
      </c>
      <c r="C63" s="191">
        <f>IF(SUM($C$62:$N$62)&lt;=0,0,IF(('2) Assumptions'!$D$17+'2) Assumptions'!$D$18)*C62&lt;0,0,('2) Assumptions'!$D$17+'2) Assumptions'!$D$18)*C62))</f>
        <v>0</v>
      </c>
      <c r="D63" s="191">
        <f>IF(SUM($C$62:$N$62)&lt;=0,0,IF(('2) Assumptions'!$D$17+'2) Assumptions'!$D$18)*D62&lt;0,0,('2) Assumptions'!$D$17+'2) Assumptions'!$D$18)*D62))</f>
        <v>0</v>
      </c>
      <c r="E63" s="191">
        <f>IF(SUM($C$62:$N$62)&lt;=0,0,IF(('2) Assumptions'!$D$17+'2) Assumptions'!$D$18)*E62&lt;0,0,('2) Assumptions'!$D$17+'2) Assumptions'!$D$18)*E62))</f>
        <v>0</v>
      </c>
      <c r="F63" s="191">
        <f>IF(SUM($C$62:$N$62)&lt;=0,0,IF(('2) Assumptions'!$D$17+'2) Assumptions'!$D$18)*F62&lt;0,0,('2) Assumptions'!$D$17+'2) Assumptions'!$D$18)*F62))</f>
        <v>0</v>
      </c>
      <c r="G63" s="191">
        <f>IF(SUM($C$62:$N$62)&lt;=0,0,IF(('2) Assumptions'!$D$17+'2) Assumptions'!$D$18)*G62&lt;0,0,('2) Assumptions'!$D$17+'2) Assumptions'!$D$18)*G62))</f>
        <v>0</v>
      </c>
      <c r="H63" s="191">
        <f>IF(SUM($C$62:$N$62)&lt;=0,0,IF(('2) Assumptions'!$D$17+'2) Assumptions'!$D$18)*H62&lt;0,0,('2) Assumptions'!$D$17+'2) Assumptions'!$D$18)*H62))</f>
        <v>0</v>
      </c>
      <c r="I63" s="191">
        <f>IF(SUM($C$62:$N$62)&lt;=0,0,IF(('2) Assumptions'!$D$17+'2) Assumptions'!$D$18)*I62&lt;0,0,('2) Assumptions'!$D$17+'2) Assumptions'!$D$18)*I62))</f>
        <v>0</v>
      </c>
      <c r="J63" s="191">
        <f>IF(SUM($C$62:$N$62)&lt;=0,0,IF(('2) Assumptions'!$D$17+'2) Assumptions'!$D$18)*J62&lt;0,0,('2) Assumptions'!$D$17+'2) Assumptions'!$D$18)*J62))</f>
        <v>0</v>
      </c>
      <c r="K63" s="191">
        <f>IF(SUM($C$62:$N$62)&lt;=0,0,IF(('2) Assumptions'!$D$17+'2) Assumptions'!$D$18)*K62&lt;0,0,('2) Assumptions'!$D$17+'2) Assumptions'!$D$18)*K62))</f>
        <v>0</v>
      </c>
      <c r="L63" s="191">
        <f>IF(SUM($C$62:$N$62)&lt;=0,0,IF(('2) Assumptions'!$D$17+'2) Assumptions'!$D$18)*L62&lt;0,0,('2) Assumptions'!$D$17+'2) Assumptions'!$D$18)*L62))</f>
        <v>0</v>
      </c>
      <c r="M63" s="191">
        <f>IF(SUM($C$62:$N$62)&lt;=0,0,IF(('2) Assumptions'!$D$17+'2) Assumptions'!$D$18)*M62&lt;0,0,('2) Assumptions'!$D$17+'2) Assumptions'!$D$18)*M62))</f>
        <v>0</v>
      </c>
      <c r="N63" s="191">
        <f>IF(SUM($C$62:$N$62)&lt;=0,0,IF(('2) Assumptions'!$D$17+'2) Assumptions'!$D$18)*N62&lt;0,0,('2) Assumptions'!$D$17+'2) Assumptions'!$D$18)*N62))</f>
        <v>0</v>
      </c>
      <c r="O63" s="191">
        <f>IF(SUM($O$62:$Z$62)&lt;=0,0,IF(('2) Assumptions'!$D$17+'2) Assumptions'!$D$18)*O62&lt;0,0,('2) Assumptions'!$D$17+'2) Assumptions'!$D$18)*O62))</f>
        <v>0</v>
      </c>
      <c r="P63" s="191">
        <f>IF(SUM($O$62:$Z$62)&lt;=0,0,IF(('2) Assumptions'!$D$17+'2) Assumptions'!$D$18)*P62&lt;0,0,('2) Assumptions'!$D$17+'2) Assumptions'!$D$18)*P62))</f>
        <v>0</v>
      </c>
      <c r="Q63" s="191">
        <f>IF(SUM($O$62:$Z$62)&lt;=0,0,IF(('2) Assumptions'!$D$17+'2) Assumptions'!$D$18)*Q62&lt;0,0,('2) Assumptions'!$D$17+'2) Assumptions'!$D$18)*Q62))</f>
        <v>0</v>
      </c>
      <c r="R63" s="191">
        <f>IF(SUM($O$62:$Z$62)&lt;=0,0,IF(('2) Assumptions'!$D$17+'2) Assumptions'!$D$18)*R62&lt;0,0,('2) Assumptions'!$D$17+'2) Assumptions'!$D$18)*R62))</f>
        <v>18131.144484995446</v>
      </c>
      <c r="S63" s="191">
        <f>IF(SUM($O$62:$Z$62)&lt;=0,0,IF(('2) Assumptions'!$D$17+'2) Assumptions'!$D$18)*S62&lt;0,0,('2) Assumptions'!$D$17+'2) Assumptions'!$D$18)*S62))</f>
        <v>37634.21469637008</v>
      </c>
      <c r="T63" s="191">
        <f>IF(SUM($O$62:$Z$62)&lt;=0,0,IF(('2) Assumptions'!$D$17+'2) Assumptions'!$D$18)*T62&lt;0,0,('2) Assumptions'!$D$17+'2) Assumptions'!$D$18)*T62))</f>
        <v>58600.015173597778</v>
      </c>
      <c r="U63" s="191">
        <f>IF(SUM($O$62:$Z$62)&lt;=0,0,IF(('2) Assumptions'!$D$17+'2) Assumptions'!$D$18)*U62&lt;0,0,('2) Assumptions'!$D$17+'2) Assumptions'!$D$18)*U62))</f>
        <v>81138.250686617655</v>
      </c>
      <c r="V63" s="191">
        <f>IF(SUM($O$62:$Z$62)&lt;=0,0,IF(('2) Assumptions'!$D$17+'2) Assumptions'!$D$18)*V62&lt;0,0,('2) Assumptions'!$D$17+'2) Assumptions'!$D$18)*V62))</f>
        <v>105366.85386311391</v>
      </c>
      <c r="W63" s="191">
        <f>IF(SUM($O$62:$Z$62)&lt;=0,0,IF(('2) Assumptions'!$D$17+'2) Assumptions'!$D$18)*W62&lt;0,0,('2) Assumptions'!$D$17+'2) Assumptions'!$D$18)*W62))</f>
        <v>131412.60227784741</v>
      </c>
      <c r="X63" s="191">
        <f>IF(SUM($O$62:$Z$62)&lt;=0,0,IF(('2) Assumptions'!$D$17+'2) Assumptions'!$D$18)*X62&lt;0,0,('2) Assumptions'!$D$17+'2) Assumptions'!$D$18)*X62))</f>
        <v>159411.78182368606</v>
      </c>
      <c r="Y63" s="191">
        <f>IF(SUM($O$62:$Z$62)&lt;=0,0,IF(('2) Assumptions'!$D$17+'2) Assumptions'!$D$18)*Y62&lt;0,0,('2) Assumptions'!$D$17+'2) Assumptions'!$D$18)*Y62))</f>
        <v>189510.89983546248</v>
      </c>
      <c r="Z63" s="191">
        <f>IF(SUM($O$62:$Z$62)&lt;=0,0,IF(('2) Assumptions'!$D$17+'2) Assumptions'!$D$18)*Z62&lt;0,0,('2) Assumptions'!$D$17+'2) Assumptions'!$D$18)*Z62))</f>
        <v>221867.4516981222</v>
      </c>
      <c r="AA63" s="191">
        <f>IF(SUM($AA$62:$AL$62)&lt;=0,0,IF(('2) Assumptions'!$D$17+'2) Assumptions'!$D$18)*AA62&lt;0,0,('2) Assumptions'!$D$17+'2) Assumptions'!$D$18)*AA62))</f>
        <v>106344.3387004812</v>
      </c>
      <c r="AB63" s="191">
        <f>IF(SUM($AA$62:$AL$62)&lt;=0,0,IF(('2) Assumptions'!$D$17+'2) Assumptions'!$D$18)*AB62&lt;0,0,('2) Assumptions'!$D$17+'2) Assumptions'!$D$18)*AB62))</f>
        <v>143736.37894676731</v>
      </c>
      <c r="AC63" s="191">
        <f>IF(SUM($AA$62:$AL$62)&lt;=0,0,IF(('2) Assumptions'!$D$17+'2) Assumptions'!$D$18)*AC62&lt;0,0,('2) Assumptions'!$D$17+'2) Assumptions'!$D$18)*AC62))</f>
        <v>183932.82221152476</v>
      </c>
      <c r="AD63" s="191">
        <f>IF(SUM($AA$62:$AL$62)&lt;=0,0,IF(('2) Assumptions'!$D$17+'2) Assumptions'!$D$18)*AD62&lt;0,0,('2) Assumptions'!$D$17+'2) Assumptions'!$D$18)*AD62))</f>
        <v>227143.99872113924</v>
      </c>
      <c r="AE63" s="191">
        <f>IF(SUM($AA$62:$AL$62)&lt;=0,0,IF(('2) Assumptions'!$D$17+'2) Assumptions'!$D$18)*AE62&lt;0,0,('2) Assumptions'!$D$17+'2) Assumptions'!$D$18)*AE62))</f>
        <v>273596.01346897462</v>
      </c>
      <c r="AF63" s="191">
        <f>IF(SUM($AA$62:$AL$62)&lt;=0,0,IF(('2) Assumptions'!$D$17+'2) Assumptions'!$D$18)*AF62&lt;0,0,('2) Assumptions'!$D$17+'2) Assumptions'!$D$18)*AF62))</f>
        <v>323531.92932289757</v>
      </c>
      <c r="AG63" s="191">
        <f>IF(SUM($AA$62:$AL$62)&lt;=0,0,IF(('2) Assumptions'!$D$17+'2) Assumptions'!$D$18)*AG62&lt;0,0,('2) Assumptions'!$D$17+'2) Assumptions'!$D$18)*AG62))</f>
        <v>377213.03886586503</v>
      </c>
      <c r="AH63" s="191">
        <f>IF(SUM($AA$62:$AL$62)&lt;=0,0,IF(('2) Assumptions'!$D$17+'2) Assumptions'!$D$18)*AH62&lt;0,0,('2) Assumptions'!$D$17+'2) Assumptions'!$D$18)*AH62))</f>
        <v>434920.23162455473</v>
      </c>
      <c r="AI63" s="191">
        <f>IF(SUM($AA$62:$AL$62)&lt;=0,0,IF(('2) Assumptions'!$D$17+'2) Assumptions'!$D$18)*AI62&lt;0,0,('2) Assumptions'!$D$17+'2) Assumptions'!$D$18)*AI62))</f>
        <v>496955.46384014655</v>
      </c>
      <c r="AJ63" s="191">
        <f>IF(SUM($AA$62:$AL$62)&lt;=0,0,IF(('2) Assumptions'!$D$17+'2) Assumptions'!$D$18)*AJ62&lt;0,0,('2) Assumptions'!$D$17+'2) Assumptions'!$D$18)*AJ62))</f>
        <v>563643.33847190731</v>
      </c>
      <c r="AK63" s="191">
        <f>IF(SUM($AA$62:$AL$62)&lt;=0,0,IF(('2) Assumptions'!$D$17+'2) Assumptions'!$D$18)*AK62&lt;0,0,('2) Assumptions'!$D$17+'2) Assumptions'!$D$18)*AK62))</f>
        <v>635332.80370105035</v>
      </c>
      <c r="AL63" s="191">
        <f>IF(SUM($AA$62:$AL$62)&lt;=0,0,IF(('2) Assumptions'!$D$17+'2) Assumptions'!$D$18)*AL62&lt;0,0,('2) Assumptions'!$D$17+'2) Assumptions'!$D$18)*AL62))</f>
        <v>712398.97882237914</v>
      </c>
      <c r="AM63" s="191">
        <f>IF(SUM($AM$62:$AX$62)&lt;=0,0,IF(('2) Assumptions'!$D$17+'2) Assumptions'!$D$18)*AM62&lt;0,0,('2) Assumptions'!$D$17+'2) Assumptions'!$D$18)*AM62))</f>
        <v>507474.29676530743</v>
      </c>
      <c r="AN63" s="191">
        <f>IF(SUM($AM$62:$AX$62)&lt;=0,0,IF(('2) Assumptions'!$D$17+'2) Assumptions'!$D$18)*AN62&lt;0,0,('2) Assumptions'!$D$17+'2) Assumptions'!$D$18)*AN62))</f>
        <v>596533.89538989286</v>
      </c>
      <c r="AO63" s="191">
        <f>IF(SUM($AM$62:$AX$62)&lt;=0,0,IF(('2) Assumptions'!$D$17+'2) Assumptions'!$D$18)*AO62&lt;0,0,('2) Assumptions'!$D$17+'2) Assumptions'!$D$18)*AO62))</f>
        <v>692272.96391132241</v>
      </c>
      <c r="AP63" s="191">
        <f>IF(SUM($AM$62:$AX$62)&lt;=0,0,IF(('2) Assumptions'!$D$17+'2) Assumptions'!$D$18)*AP62&lt;0,0,('2) Assumptions'!$D$17+'2) Assumptions'!$D$18)*AP62))</f>
        <v>795192.46257185889</v>
      </c>
      <c r="AQ63" s="191">
        <f>IF(SUM($AM$62:$AX$62)&lt;=0,0,IF(('2) Assumptions'!$D$17+'2) Assumptions'!$D$18)*AQ62&lt;0,0,('2) Assumptions'!$D$17+'2) Assumptions'!$D$18)*AQ62))</f>
        <v>905830.92363193573</v>
      </c>
      <c r="AR63" s="191">
        <f>IF(SUM($AM$62:$AX$62)&lt;=0,0,IF(('2) Assumptions'!$D$17+'2) Assumptions'!$D$18)*AR62&lt;0,0,('2) Assumptions'!$D$17+'2) Assumptions'!$D$18)*AR62))</f>
        <v>1024767.2692715183</v>
      </c>
      <c r="AS63" s="191">
        <f>IF(SUM($AM$62:$AX$62)&lt;=0,0,IF(('2) Assumptions'!$D$17+'2) Assumptions'!$D$18)*AS62&lt;0,0,('2) Assumptions'!$D$17+'2) Assumptions'!$D$18)*AS62))</f>
        <v>1152623.8408340702</v>
      </c>
      <c r="AT63" s="191">
        <f>IF(SUM($AM$62:$AX$62)&lt;=0,0,IF(('2) Assumptions'!$D$17+'2) Assumptions'!$D$18)*AT62&lt;0,0,('2) Assumptions'!$D$17+'2) Assumptions'!$D$18)*AT62))</f>
        <v>1290069.6552638123</v>
      </c>
      <c r="AU63" s="191">
        <f>IF(SUM($AM$62:$AX$62)&lt;=0,0,IF(('2) Assumptions'!$D$17+'2) Assumptions'!$D$18)*AU62&lt;0,0,('2) Assumptions'!$D$17+'2) Assumptions'!$D$18)*AU62))</f>
        <v>1437823.9057757859</v>
      </c>
      <c r="AV63" s="191">
        <f>IF(SUM($AM$62:$AX$62)&lt;=0,0,IF(('2) Assumptions'!$D$17+'2) Assumptions'!$D$18)*AV62&lt;0,0,('2) Assumptions'!$D$17+'2) Assumptions'!$D$18)*AV62))</f>
        <v>1596659.7250761569</v>
      </c>
      <c r="AW63" s="191">
        <f>IF(SUM($AM$62:$AX$62)&lt;=0,0,IF(('2) Assumptions'!$D$17+'2) Assumptions'!$D$18)*AW62&lt;0,0,('2) Assumptions'!$D$17+'2) Assumptions'!$D$18)*AW62))</f>
        <v>1767408.2308240563</v>
      </c>
      <c r="AX63" s="191">
        <f>IF(SUM($AM$62:$AX$62)&lt;=0,0,IF(('2) Assumptions'!$D$17+'2) Assumptions'!$D$18)*AX62&lt;0,0,('2) Assumptions'!$D$17+'2) Assumptions'!$D$18)*AX62))</f>
        <v>1950962.8745030481</v>
      </c>
      <c r="AY63" s="191">
        <f>IF(SUM($AY$62:$BJ$62)&lt;=0,0,IF(('2) Assumptions'!$D$17+'2) Assumptions'!$D$18)*AY62&lt;0,0,('2) Assumptions'!$D$17+'2) Assumptions'!$D$18)*AY62))</f>
        <v>1590575.0441923393</v>
      </c>
      <c r="AZ63" s="191">
        <f>IF(SUM($AY$62:$BJ$62)&lt;=0,0,IF(('2) Assumptions'!$D$17+'2) Assumptions'!$D$18)*AZ62&lt;0,0,('2) Assumptions'!$D$17+'2) Assumptions'!$D$18)*AZ62))</f>
        <v>1802695.3792938732</v>
      </c>
      <c r="BA63" s="191">
        <f>IF(SUM($AY$62:$BJ$62)&lt;=0,0,IF(('2) Assumptions'!$D$17+'2) Assumptions'!$D$18)*BA62&lt;0,0,('2) Assumptions'!$D$17+'2) Assumptions'!$D$18)*BA62))</f>
        <v>2030724.7395280234</v>
      </c>
      <c r="BB63" s="191">
        <f>IF(SUM($AY$62:$BJ$62)&lt;=0,0,IF(('2) Assumptions'!$D$17+'2) Assumptions'!$D$18)*BB62&lt;0,0,('2) Assumptions'!$D$17+'2) Assumptions'!$D$18)*BB62))</f>
        <v>2275856.3017797354</v>
      </c>
      <c r="BC63" s="191">
        <f>IF(SUM($AY$62:$BJ$62)&lt;=0,0,IF(('2) Assumptions'!$D$17+'2) Assumptions'!$D$18)*BC62&lt;0,0,('2) Assumptions'!$D$17+'2) Assumptions'!$D$18)*BC62))</f>
        <v>2539372.7312003239</v>
      </c>
      <c r="BD63" s="191">
        <f>IF(SUM($AY$62:$BJ$62)&lt;=0,0,IF(('2) Assumptions'!$D$17+'2) Assumptions'!$D$18)*BD62&lt;0,0,('2) Assumptions'!$D$17+'2) Assumptions'!$D$18)*BD62))</f>
        <v>2822652.8928274573</v>
      </c>
      <c r="BE63" s="191">
        <f>IF(SUM($AY$62:$BJ$62)&lt;=0,0,IF(('2) Assumptions'!$D$17+'2) Assumptions'!$D$18)*BE62&lt;0,0,('2) Assumptions'!$D$17+'2) Assumptions'!$D$18)*BE62))</f>
        <v>3127179.0665766257</v>
      </c>
      <c r="BF63" s="191">
        <f>IF(SUM($AY$62:$BJ$62)&lt;=0,0,IF(('2) Assumptions'!$D$17+'2) Assumptions'!$D$18)*BF62&lt;0,0,('2) Assumptions'!$D$17+'2) Assumptions'!$D$18)*BF62))</f>
        <v>3454544.7033569827</v>
      </c>
      <c r="BG63" s="191">
        <f>IF(SUM($AY$62:$BJ$62)&lt;=0,0,IF(('2) Assumptions'!$D$17+'2) Assumptions'!$D$18)*BG62&lt;0,0,('2) Assumptions'!$D$17+'2) Assumptions'!$D$18)*BG62))</f>
        <v>3806462.7628958644</v>
      </c>
      <c r="BH63" s="191">
        <f>IF(SUM($AY$62:$BJ$62)&lt;=0,0,IF(('2) Assumptions'!$D$17+'2) Assumptions'!$D$18)*BH62&lt;0,0,('2) Assumptions'!$D$17+'2) Assumptions'!$D$18)*BH62))</f>
        <v>4184774.6769001628</v>
      </c>
      <c r="BI63" s="191">
        <f>IF(SUM($AY$62:$BJ$62)&lt;=0,0,IF(('2) Assumptions'!$D$17+'2) Assumptions'!$D$18)*BI62&lt;0,0,('2) Assumptions'!$D$17+'2) Assumptions'!$D$18)*BI62))</f>
        <v>4591459.9844547845</v>
      </c>
      <c r="BJ63" s="191">
        <f>IF(SUM($AY$62:$BJ$62)&lt;=0,0,IF(('2) Assumptions'!$D$17+'2) Assumptions'!$D$18)*BJ62&lt;0,0,('2) Assumptions'!$D$17+'2) Assumptions'!$D$18)*BJ62))</f>
        <v>5028646.6900760019</v>
      </c>
    </row>
    <row r="64" spans="1:62" s="228" customFormat="1" ht="14" customHeight="1" thickBot="1">
      <c r="A64" s="193" t="s">
        <v>33</v>
      </c>
      <c r="B64" s="193"/>
      <c r="C64" s="195">
        <f t="shared" ref="C64:AH64" si="8">C62-C63</f>
        <v>-341666.66666666663</v>
      </c>
      <c r="D64" s="195">
        <f t="shared" si="8"/>
        <v>-311291.66666666663</v>
      </c>
      <c r="E64" s="195">
        <f t="shared" si="8"/>
        <v>-278638.54166666663</v>
      </c>
      <c r="F64" s="195">
        <f t="shared" si="8"/>
        <v>-243536.43229166666</v>
      </c>
      <c r="G64" s="195">
        <f t="shared" si="8"/>
        <v>-205801.66471354166</v>
      </c>
      <c r="H64" s="195">
        <f t="shared" si="8"/>
        <v>-165236.78956705731</v>
      </c>
      <c r="I64" s="195">
        <f t="shared" si="8"/>
        <v>-121629.54878458651</v>
      </c>
      <c r="J64" s="195">
        <f t="shared" si="8"/>
        <v>-74751.764943430695</v>
      </c>
      <c r="K64" s="195">
        <f t="shared" si="8"/>
        <v>-24358.1473141881</v>
      </c>
      <c r="L64" s="195">
        <f t="shared" si="8"/>
        <v>29814.991637247818</v>
      </c>
      <c r="M64" s="195">
        <f t="shared" si="8"/>
        <v>88051.116010041413</v>
      </c>
      <c r="N64" s="195">
        <f t="shared" si="8"/>
        <v>150654.94971079458</v>
      </c>
      <c r="O64" s="195">
        <f t="shared" si="8"/>
        <v>-150170.92906089607</v>
      </c>
      <c r="P64" s="195">
        <f t="shared" si="8"/>
        <v>-77824.373740463314</v>
      </c>
      <c r="Q64" s="195">
        <f t="shared" si="8"/>
        <v>-51.826770998217398</v>
      </c>
      <c r="R64" s="195">
        <f t="shared" si="8"/>
        <v>65422.516736181729</v>
      </c>
      <c r="S64" s="195">
        <f t="shared" si="8"/>
        <v>135795.34611639526</v>
      </c>
      <c r="T64" s="195">
        <f t="shared" si="8"/>
        <v>211446.1377001247</v>
      </c>
      <c r="U64" s="195">
        <f t="shared" si="8"/>
        <v>292770.7386526342</v>
      </c>
      <c r="V64" s="195">
        <f t="shared" si="8"/>
        <v>380194.68467658153</v>
      </c>
      <c r="W64" s="195">
        <f t="shared" si="8"/>
        <v>474175.42665232503</v>
      </c>
      <c r="X64" s="195">
        <f t="shared" si="8"/>
        <v>575204.72427624965</v>
      </c>
      <c r="Y64" s="195">
        <f t="shared" si="8"/>
        <v>683811.21922196832</v>
      </c>
      <c r="Z64" s="195">
        <f t="shared" si="8"/>
        <v>800563.20128861605</v>
      </c>
      <c r="AA64" s="195">
        <f t="shared" si="8"/>
        <v>383721.7382602616</v>
      </c>
      <c r="AB64" s="195">
        <f t="shared" si="8"/>
        <v>518643.2475360313</v>
      </c>
      <c r="AC64" s="195">
        <f t="shared" si="8"/>
        <v>663683.87000748329</v>
      </c>
      <c r="AD64" s="195">
        <f t="shared" si="8"/>
        <v>819602.53916429507</v>
      </c>
      <c r="AE64" s="195">
        <f t="shared" si="8"/>
        <v>987215.10850786685</v>
      </c>
      <c r="AF64" s="195">
        <f t="shared" si="8"/>
        <v>1167398.6205522064</v>
      </c>
      <c r="AG64" s="195">
        <f t="shared" si="8"/>
        <v>1361095.8959998726</v>
      </c>
      <c r="AH64" s="195">
        <f t="shared" si="8"/>
        <v>1569320.4671061123</v>
      </c>
      <c r="AI64" s="195">
        <f t="shared" ref="AI64:BJ64" si="9">AI62-AI63</f>
        <v>1793161.8810453215</v>
      </c>
      <c r="AJ64" s="195">
        <f t="shared" si="9"/>
        <v>2033791.40102997</v>
      </c>
      <c r="AK64" s="195">
        <f t="shared" si="9"/>
        <v>2292468.1350134676</v>
      </c>
      <c r="AL64" s="195">
        <f t="shared" si="9"/>
        <v>2570545.6240457278</v>
      </c>
      <c r="AM64" s="195">
        <f t="shared" si="9"/>
        <v>1831116.9325679066</v>
      </c>
      <c r="AN64" s="195">
        <f t="shared" si="9"/>
        <v>2152470.2308308119</v>
      </c>
      <c r="AO64" s="195">
        <f t="shared" si="9"/>
        <v>2497925.026463435</v>
      </c>
      <c r="AP64" s="195">
        <f t="shared" si="9"/>
        <v>2869288.9317685049</v>
      </c>
      <c r="AQ64" s="195">
        <f t="shared" si="9"/>
        <v>3268505.1299714549</v>
      </c>
      <c r="AR64" s="195">
        <f t="shared" si="9"/>
        <v>3697662.5430396264</v>
      </c>
      <c r="AS64" s="195">
        <f t="shared" si="9"/>
        <v>4159006.7620879123</v>
      </c>
      <c r="AT64" s="195">
        <f t="shared" si="9"/>
        <v>4654951.7975648157</v>
      </c>
      <c r="AU64" s="195">
        <f t="shared" si="9"/>
        <v>5188092.7107024901</v>
      </c>
      <c r="AV64" s="195">
        <f t="shared" si="9"/>
        <v>5761219.1923254877</v>
      </c>
      <c r="AW64" s="195">
        <f t="shared" si="9"/>
        <v>6377330.1600702126</v>
      </c>
      <c r="AX64" s="195">
        <f t="shared" si="9"/>
        <v>7039649.4503957909</v>
      </c>
      <c r="AY64" s="195">
        <f t="shared" si="9"/>
        <v>5739263.8691364136</v>
      </c>
      <c r="AZ64" s="195">
        <f t="shared" si="9"/>
        <v>6504656.5990189072</v>
      </c>
      <c r="BA64" s="195">
        <f t="shared" si="9"/>
        <v>7327453.783642591</v>
      </c>
      <c r="BB64" s="195">
        <f t="shared" si="9"/>
        <v>8211960.7571130544</v>
      </c>
      <c r="BC64" s="195">
        <f t="shared" si="9"/>
        <v>9162805.753593795</v>
      </c>
      <c r="BD64" s="195">
        <f t="shared" si="9"/>
        <v>10184964.124810595</v>
      </c>
      <c r="BE64" s="195">
        <f t="shared" si="9"/>
        <v>11283784.373868654</v>
      </c>
      <c r="BF64" s="195">
        <f t="shared" si="9"/>
        <v>12465016.14160607</v>
      </c>
      <c r="BG64" s="195">
        <f t="shared" si="9"/>
        <v>13734840.291923787</v>
      </c>
      <c r="BH64" s="195">
        <f t="shared" si="9"/>
        <v>15099901.253515333</v>
      </c>
      <c r="BI64" s="195">
        <f t="shared" si="9"/>
        <v>16567341.787226252</v>
      </c>
      <c r="BJ64" s="195">
        <f t="shared" si="9"/>
        <v>18144840.360965483</v>
      </c>
    </row>
    <row r="65" spans="1:62" s="1" customFormat="1" ht="13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62" s="1" customFormat="1" ht="13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62" s="1" customFormat="1" ht="14">
      <c r="A67" s="366" t="s">
        <v>7</v>
      </c>
      <c r="B67" s="366"/>
      <c r="C67" s="378">
        <f>'8) Opening Balance Sheet'!C24</f>
        <v>0</v>
      </c>
      <c r="D67" s="367">
        <f t="shared" ref="D67:AI67" si="10">C68</f>
        <v>-341666.66666666663</v>
      </c>
      <c r="E67" s="367">
        <f t="shared" si="10"/>
        <v>-652958.33333333326</v>
      </c>
      <c r="F67" s="367">
        <f t="shared" si="10"/>
        <v>-931596.87499999988</v>
      </c>
      <c r="G67" s="367">
        <f t="shared" si="10"/>
        <v>-1175133.3072916665</v>
      </c>
      <c r="H67" s="367">
        <f t="shared" si="10"/>
        <v>-1380934.9720052083</v>
      </c>
      <c r="I67" s="367">
        <f t="shared" si="10"/>
        <v>-1546171.7615722655</v>
      </c>
      <c r="J67" s="367">
        <f t="shared" si="10"/>
        <v>-1667801.3103568521</v>
      </c>
      <c r="K67" s="367">
        <f t="shared" si="10"/>
        <v>-1742553.0753002828</v>
      </c>
      <c r="L67" s="367">
        <f t="shared" si="10"/>
        <v>-1766911.2226144709</v>
      </c>
      <c r="M67" s="367">
        <f t="shared" si="10"/>
        <v>-1737096.230977223</v>
      </c>
      <c r="N67" s="367">
        <f t="shared" si="10"/>
        <v>-1649045.1149671816</v>
      </c>
      <c r="O67" s="367">
        <f t="shared" si="10"/>
        <v>-1498390.1652563871</v>
      </c>
      <c r="P67" s="367">
        <f t="shared" si="10"/>
        <v>-1648561.0943172832</v>
      </c>
      <c r="Q67" s="367">
        <f t="shared" si="10"/>
        <v>-1726385.4680577465</v>
      </c>
      <c r="R67" s="367">
        <f t="shared" si="10"/>
        <v>-1726437.2948287448</v>
      </c>
      <c r="S67" s="367">
        <f t="shared" si="10"/>
        <v>-1661014.7780925632</v>
      </c>
      <c r="T67" s="367">
        <f t="shared" si="10"/>
        <v>-1525219.431976168</v>
      </c>
      <c r="U67" s="367">
        <f t="shared" si="10"/>
        <v>-1313773.2942760433</v>
      </c>
      <c r="V67" s="367">
        <f t="shared" si="10"/>
        <v>-1021002.5556234091</v>
      </c>
      <c r="W67" s="367">
        <f t="shared" si="10"/>
        <v>-640807.87094682758</v>
      </c>
      <c r="X67" s="367">
        <f t="shared" si="10"/>
        <v>-166632.44429450255</v>
      </c>
      <c r="Y67" s="367">
        <f t="shared" si="10"/>
        <v>408572.2799817471</v>
      </c>
      <c r="Z67" s="367">
        <f t="shared" si="10"/>
        <v>1092383.4992037155</v>
      </c>
      <c r="AA67" s="367">
        <f t="shared" si="10"/>
        <v>1892946.7004923315</v>
      </c>
      <c r="AB67" s="367">
        <f t="shared" si="10"/>
        <v>2276668.438752593</v>
      </c>
      <c r="AC67" s="367">
        <f t="shared" si="10"/>
        <v>2795311.6862886241</v>
      </c>
      <c r="AD67" s="367">
        <f t="shared" si="10"/>
        <v>3458995.5562961074</v>
      </c>
      <c r="AE67" s="367">
        <f t="shared" si="10"/>
        <v>4278598.0954604028</v>
      </c>
      <c r="AF67" s="367">
        <f t="shared" si="10"/>
        <v>5265813.2039682698</v>
      </c>
      <c r="AG67" s="367">
        <f t="shared" si="10"/>
        <v>6433211.8245204762</v>
      </c>
      <c r="AH67" s="367">
        <f t="shared" si="10"/>
        <v>7794307.7205203492</v>
      </c>
      <c r="AI67" s="367">
        <f t="shared" si="10"/>
        <v>9363628.1876264624</v>
      </c>
      <c r="AJ67" s="367">
        <f t="shared" ref="AJ67:BJ67" si="11">AI68</f>
        <v>11156790.068671783</v>
      </c>
      <c r="AK67" s="367">
        <f t="shared" si="11"/>
        <v>13190581.469701754</v>
      </c>
      <c r="AL67" s="367">
        <f t="shared" si="11"/>
        <v>15483049.604715221</v>
      </c>
      <c r="AM67" s="367">
        <f t="shared" si="11"/>
        <v>18053595.22876095</v>
      </c>
      <c r="AN67" s="367">
        <f t="shared" si="11"/>
        <v>19884712.161328856</v>
      </c>
      <c r="AO67" s="367">
        <f t="shared" si="11"/>
        <v>22037182.392159667</v>
      </c>
      <c r="AP67" s="367">
        <f t="shared" si="11"/>
        <v>24535107.418623101</v>
      </c>
      <c r="AQ67" s="367">
        <f t="shared" si="11"/>
        <v>27404396.350391604</v>
      </c>
      <c r="AR67" s="367">
        <f t="shared" si="11"/>
        <v>30672901.48036306</v>
      </c>
      <c r="AS67" s="367">
        <f t="shared" si="11"/>
        <v>34370564.023402683</v>
      </c>
      <c r="AT67" s="367">
        <f t="shared" si="11"/>
        <v>38529570.785490595</v>
      </c>
      <c r="AU67" s="367">
        <f t="shared" si="11"/>
        <v>43184522.583055407</v>
      </c>
      <c r="AV67" s="367">
        <f t="shared" si="11"/>
        <v>48372615.293757901</v>
      </c>
      <c r="AW67" s="367">
        <f t="shared" si="11"/>
        <v>54133834.486083388</v>
      </c>
      <c r="AX67" s="367">
        <f t="shared" si="11"/>
        <v>60511164.646153599</v>
      </c>
      <c r="AY67" s="367">
        <f t="shared" si="11"/>
        <v>67550814.096549392</v>
      </c>
      <c r="AZ67" s="367">
        <f t="shared" si="11"/>
        <v>73290077.9656858</v>
      </c>
      <c r="BA67" s="367">
        <f t="shared" si="11"/>
        <v>79794734.564704701</v>
      </c>
      <c r="BB67" s="367">
        <f t="shared" si="11"/>
        <v>87122188.348347291</v>
      </c>
      <c r="BC67" s="367">
        <f t="shared" si="11"/>
        <v>95334149.105460346</v>
      </c>
      <c r="BD67" s="367">
        <f t="shared" si="11"/>
        <v>104496954.85905415</v>
      </c>
      <c r="BE67" s="367">
        <f t="shared" si="11"/>
        <v>114681918.98386474</v>
      </c>
      <c r="BF67" s="367">
        <f t="shared" si="11"/>
        <v>125965703.3577334</v>
      </c>
      <c r="BG67" s="367">
        <f t="shared" si="11"/>
        <v>138430719.49933946</v>
      </c>
      <c r="BH67" s="367">
        <f t="shared" si="11"/>
        <v>152165559.79126325</v>
      </c>
      <c r="BI67" s="367">
        <f t="shared" si="11"/>
        <v>167265461.04477859</v>
      </c>
      <c r="BJ67" s="367">
        <f t="shared" si="11"/>
        <v>183832802.83200485</v>
      </c>
    </row>
    <row r="68" spans="1:62" s="1" customFormat="1" ht="14">
      <c r="A68" s="368" t="s">
        <v>8</v>
      </c>
      <c r="B68" s="368"/>
      <c r="C68" s="369">
        <f>C67+C64+'Cash Flow'!C48</f>
        <v>-341666.66666666663</v>
      </c>
      <c r="D68" s="369">
        <f>D67+D64+'Cash Flow'!D48</f>
        <v>-652958.33333333326</v>
      </c>
      <c r="E68" s="369">
        <f>E67+E64+'Cash Flow'!E48</f>
        <v>-931596.87499999988</v>
      </c>
      <c r="F68" s="369">
        <f>F67+F64+'Cash Flow'!F48</f>
        <v>-1175133.3072916665</v>
      </c>
      <c r="G68" s="369">
        <f>G67+G64+'Cash Flow'!G48</f>
        <v>-1380934.9720052083</v>
      </c>
      <c r="H68" s="369">
        <f>H67+H64+'Cash Flow'!H48</f>
        <v>-1546171.7615722655</v>
      </c>
      <c r="I68" s="369">
        <f>I67+I64+'Cash Flow'!I48</f>
        <v>-1667801.3103568521</v>
      </c>
      <c r="J68" s="369">
        <f>J67+J64+'Cash Flow'!J48</f>
        <v>-1742553.0753002828</v>
      </c>
      <c r="K68" s="369">
        <f>K67+K64+'Cash Flow'!K48</f>
        <v>-1766911.2226144709</v>
      </c>
      <c r="L68" s="369">
        <f>L67+L64+'Cash Flow'!L48</f>
        <v>-1737096.230977223</v>
      </c>
      <c r="M68" s="369">
        <f>M67+M64+'Cash Flow'!M48</f>
        <v>-1649045.1149671816</v>
      </c>
      <c r="N68" s="369">
        <f>N67+N64+'Cash Flow'!N48</f>
        <v>-1498390.1652563871</v>
      </c>
      <c r="O68" s="369">
        <f>O67+O64+'Cash Flow'!O48</f>
        <v>-1648561.0943172832</v>
      </c>
      <c r="P68" s="369">
        <f>P67+P64+'Cash Flow'!P48</f>
        <v>-1726385.4680577465</v>
      </c>
      <c r="Q68" s="369">
        <f>Q67+Q64+'Cash Flow'!Q48</f>
        <v>-1726437.2948287448</v>
      </c>
      <c r="R68" s="369">
        <f>R67+R64+'Cash Flow'!R48</f>
        <v>-1661014.7780925632</v>
      </c>
      <c r="S68" s="369">
        <f>S67+S64+'Cash Flow'!S48</f>
        <v>-1525219.431976168</v>
      </c>
      <c r="T68" s="369">
        <f>T67+T64+'Cash Flow'!T48</f>
        <v>-1313773.2942760433</v>
      </c>
      <c r="U68" s="369">
        <f>U67+U64+'Cash Flow'!U48</f>
        <v>-1021002.5556234091</v>
      </c>
      <c r="V68" s="369">
        <f>V67+V64+'Cash Flow'!V48</f>
        <v>-640807.87094682758</v>
      </c>
      <c r="W68" s="369">
        <f>W67+W64+'Cash Flow'!W48</f>
        <v>-166632.44429450255</v>
      </c>
      <c r="X68" s="369">
        <f>X67+X64+'Cash Flow'!X48</f>
        <v>408572.2799817471</v>
      </c>
      <c r="Y68" s="369">
        <f>Y67+Y64+'Cash Flow'!Y48</f>
        <v>1092383.4992037155</v>
      </c>
      <c r="Z68" s="369">
        <f>Z67+Z64+'Cash Flow'!Z48</f>
        <v>1892946.7004923315</v>
      </c>
      <c r="AA68" s="369">
        <f>AA67+AA64+'Cash Flow'!AA48</f>
        <v>2276668.438752593</v>
      </c>
      <c r="AB68" s="369">
        <f>AB67+AB64+'Cash Flow'!AB48</f>
        <v>2795311.6862886241</v>
      </c>
      <c r="AC68" s="369">
        <f>AC67+AC64+'Cash Flow'!AC48</f>
        <v>3458995.5562961074</v>
      </c>
      <c r="AD68" s="369">
        <f>AD67+AD64+'Cash Flow'!AD48</f>
        <v>4278598.0954604028</v>
      </c>
      <c r="AE68" s="369">
        <f>AE67+AE64+'Cash Flow'!AE48</f>
        <v>5265813.2039682698</v>
      </c>
      <c r="AF68" s="369">
        <f>AF67+AF64+'Cash Flow'!AF48</f>
        <v>6433211.8245204762</v>
      </c>
      <c r="AG68" s="369">
        <f>AG67+AG64+'Cash Flow'!AG48</f>
        <v>7794307.7205203492</v>
      </c>
      <c r="AH68" s="369">
        <f>AH67+AH64+'Cash Flow'!AH48</f>
        <v>9363628.1876264624</v>
      </c>
      <c r="AI68" s="369">
        <f>AI67+AI64+'Cash Flow'!AI48</f>
        <v>11156790.068671783</v>
      </c>
      <c r="AJ68" s="369">
        <f>AJ67+AJ64+'Cash Flow'!AJ48</f>
        <v>13190581.469701754</v>
      </c>
      <c r="AK68" s="369">
        <f>AK67+AK64+'Cash Flow'!AK48</f>
        <v>15483049.604715221</v>
      </c>
      <c r="AL68" s="369">
        <f>AL67+AL64+'Cash Flow'!AL48</f>
        <v>18053595.22876095</v>
      </c>
      <c r="AM68" s="369">
        <f>AM67+AM64+'Cash Flow'!AM48</f>
        <v>19884712.161328856</v>
      </c>
      <c r="AN68" s="369">
        <f>AN67+AN64+'Cash Flow'!AN48</f>
        <v>22037182.392159667</v>
      </c>
      <c r="AO68" s="369">
        <f>AO67+AO64+'Cash Flow'!AO48</f>
        <v>24535107.418623101</v>
      </c>
      <c r="AP68" s="369">
        <f>AP67+AP64+'Cash Flow'!AP48</f>
        <v>27404396.350391604</v>
      </c>
      <c r="AQ68" s="369">
        <f>AQ67+AQ64+'Cash Flow'!AQ48</f>
        <v>30672901.48036306</v>
      </c>
      <c r="AR68" s="369">
        <f>AR67+AR64+'Cash Flow'!AR48</f>
        <v>34370564.023402683</v>
      </c>
      <c r="AS68" s="369">
        <f>AS67+AS64+'Cash Flow'!AS48</f>
        <v>38529570.785490595</v>
      </c>
      <c r="AT68" s="369">
        <f>AT67+AT64+'Cash Flow'!AT48</f>
        <v>43184522.583055407</v>
      </c>
      <c r="AU68" s="369">
        <f>AU67+AU64+'Cash Flow'!AU48</f>
        <v>48372615.293757901</v>
      </c>
      <c r="AV68" s="369">
        <f>AV67+AV64+'Cash Flow'!AV48</f>
        <v>54133834.486083388</v>
      </c>
      <c r="AW68" s="369">
        <f>AW67+AW64+'Cash Flow'!AW48</f>
        <v>60511164.646153599</v>
      </c>
      <c r="AX68" s="369">
        <f>AX67+AX64+'Cash Flow'!AX48</f>
        <v>67550814.096549392</v>
      </c>
      <c r="AY68" s="369">
        <f>AY67+AY64+'Cash Flow'!AY48</f>
        <v>73290077.9656858</v>
      </c>
      <c r="AZ68" s="369">
        <f>AZ67+AZ64+'Cash Flow'!AZ48</f>
        <v>79794734.564704701</v>
      </c>
      <c r="BA68" s="369">
        <f>BA67+BA64+'Cash Flow'!BA48</f>
        <v>87122188.348347291</v>
      </c>
      <c r="BB68" s="369">
        <f>BB67+BB64+'Cash Flow'!BB48</f>
        <v>95334149.105460346</v>
      </c>
      <c r="BC68" s="369">
        <f>BC67+BC64+'Cash Flow'!BC48</f>
        <v>104496954.85905415</v>
      </c>
      <c r="BD68" s="369">
        <f>BD67+BD64+'Cash Flow'!BD48</f>
        <v>114681918.98386474</v>
      </c>
      <c r="BE68" s="369">
        <f>BE67+BE64+'Cash Flow'!BE48</f>
        <v>125965703.3577334</v>
      </c>
      <c r="BF68" s="369">
        <f>BF67+BF64+'Cash Flow'!BF48</f>
        <v>138430719.49933946</v>
      </c>
      <c r="BG68" s="369">
        <f>BG67+BG64+'Cash Flow'!BG48</f>
        <v>152165559.79126325</v>
      </c>
      <c r="BH68" s="369">
        <f>BH67+BH64+'Cash Flow'!BH48</f>
        <v>167265461.04477859</v>
      </c>
      <c r="BI68" s="369">
        <f>BI67+BI64+'Cash Flow'!BI48</f>
        <v>183832802.83200485</v>
      </c>
      <c r="BJ68" s="369">
        <f>BJ67+BJ64+'Cash Flow'!BJ48</f>
        <v>201977643.19297034</v>
      </c>
    </row>
  </sheetData>
  <mergeCells count="5">
    <mergeCell ref="O36:Z36"/>
    <mergeCell ref="C36:N36"/>
    <mergeCell ref="AA36:AL36"/>
    <mergeCell ref="AM36:AX36"/>
    <mergeCell ref="AY36:BJ36"/>
  </mergeCells>
  <phoneticPr fontId="5" type="noConversion"/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BQ58"/>
  <sheetViews>
    <sheetView showGridLines="0" zoomScaleNormal="100" workbookViewId="0"/>
  </sheetViews>
  <sheetFormatPr baseColWidth="10" defaultColWidth="9.1640625" defaultRowHeight="13"/>
  <cols>
    <col min="1" max="1" width="3" style="1" customWidth="1"/>
    <col min="2" max="2" width="29.83203125" style="1" customWidth="1"/>
    <col min="3" max="3" width="10.5" style="1" hidden="1" customWidth="1"/>
    <col min="4" max="6" width="10.6640625" style="1" bestFit="1" customWidth="1"/>
    <col min="7" max="8" width="11.1640625" style="1" bestFit="1" customWidth="1"/>
    <col min="9" max="16384" width="9.1640625" style="1"/>
  </cols>
  <sheetData>
    <row r="1" spans="1:17" s="150" customFormat="1" ht="14" customHeight="1">
      <c r="A1" s="262" t="s">
        <v>92</v>
      </c>
      <c r="B1" s="148"/>
      <c r="C1" s="148"/>
      <c r="D1" s="148"/>
      <c r="E1" s="148"/>
      <c r="F1" s="148"/>
      <c r="G1" s="148"/>
      <c r="H1" s="149"/>
    </row>
    <row r="2" spans="1:17" ht="14" customHeight="1">
      <c r="A2" s="76" t="str">
        <f>"(expressed in "&amp;'2) Assumptions'!D6&amp;")"</f>
        <v>(expressed in Euro (€))</v>
      </c>
      <c r="B2" s="94"/>
      <c r="C2" s="94"/>
      <c r="D2" s="94"/>
      <c r="E2" s="94"/>
      <c r="F2" s="94"/>
      <c r="G2" s="94"/>
      <c r="H2" s="76"/>
    </row>
    <row r="3" spans="1:17" ht="14" customHeight="1">
      <c r="A3" s="77" t="str">
        <f>"For the years ended"&amp;" "&amp;TEXT(EOMONTH('2) Assumptions'!D5,11),"mmmm dd")&amp;","</f>
        <v>For the years ended December 31,</v>
      </c>
      <c r="B3" s="94"/>
      <c r="C3" s="94"/>
      <c r="D3" s="94"/>
      <c r="E3" s="94"/>
      <c r="F3" s="94"/>
      <c r="G3" s="94"/>
      <c r="H3" s="77"/>
    </row>
    <row r="4" spans="1:17" ht="14" customHeight="1">
      <c r="A4" s="78"/>
      <c r="B4" s="78"/>
      <c r="C4" s="79" t="s">
        <v>25</v>
      </c>
      <c r="D4" s="79">
        <f>EDATE('2) Assumptions'!$D$5,11)</f>
        <v>45261</v>
      </c>
      <c r="E4" s="79">
        <f>EDATE('2) Assumptions'!$D$5,23)</f>
        <v>45627</v>
      </c>
      <c r="F4" s="79">
        <f>EDATE('2) Assumptions'!$D$5,35)</f>
        <v>45992</v>
      </c>
      <c r="G4" s="79">
        <f>EDATE('2) Assumptions'!$D$5,47)</f>
        <v>46357</v>
      </c>
      <c r="H4" s="79">
        <f>EDATE('2) Assumptions'!$D$5,59)</f>
        <v>46722</v>
      </c>
      <c r="K4" s="180">
        <f>D4</f>
        <v>45261</v>
      </c>
      <c r="L4" s="180">
        <f t="shared" ref="L4:O4" si="0">E4</f>
        <v>45627</v>
      </c>
      <c r="M4" s="180">
        <f t="shared" si="0"/>
        <v>45992</v>
      </c>
      <c r="N4" s="180">
        <f t="shared" si="0"/>
        <v>46357</v>
      </c>
      <c r="O4" s="180">
        <f t="shared" si="0"/>
        <v>46722</v>
      </c>
    </row>
    <row r="5" spans="1:17" ht="14" customHeight="1">
      <c r="A5" s="188" t="s">
        <v>1</v>
      </c>
      <c r="B5" s="187"/>
      <c r="C5" s="189"/>
      <c r="D5" s="190"/>
      <c r="E5" s="190"/>
      <c r="F5" s="190"/>
      <c r="G5" s="190"/>
      <c r="H5" s="190"/>
      <c r="J5" s="1" t="s">
        <v>194</v>
      </c>
      <c r="K5" s="118">
        <f>D14</f>
        <v>29010626.228186235</v>
      </c>
      <c r="L5" s="118">
        <f t="shared" ref="L5:O5" si="1">E14</f>
        <v>32764053.257869381</v>
      </c>
      <c r="M5" s="118">
        <f t="shared" si="1"/>
        <v>49606003.015646189</v>
      </c>
      <c r="N5" s="118">
        <f t="shared" si="1"/>
        <v>100407614.8137625</v>
      </c>
      <c r="O5" s="118">
        <f t="shared" si="1"/>
        <v>237362399.21243751</v>
      </c>
      <c r="P5" s="180"/>
    </row>
    <row r="6" spans="1:17" ht="14" customHeight="1">
      <c r="A6" s="187" t="s">
        <v>34</v>
      </c>
      <c r="B6" s="187"/>
      <c r="C6" s="189"/>
      <c r="D6" s="190"/>
      <c r="E6" s="190"/>
      <c r="F6" s="190"/>
      <c r="G6" s="190"/>
      <c r="H6" s="190"/>
      <c r="J6" s="1" t="s">
        <v>195</v>
      </c>
      <c r="K6" s="118">
        <f>D21</f>
        <v>509016.39344262297</v>
      </c>
      <c r="L6" s="118">
        <f t="shared" ref="L6:O6" si="2">E21</f>
        <v>871106.55737704912</v>
      </c>
      <c r="M6" s="118">
        <f t="shared" si="2"/>
        <v>1552407.7868852459</v>
      </c>
      <c r="N6" s="118">
        <f t="shared" si="2"/>
        <v>2856800.7172131147</v>
      </c>
      <c r="O6" s="118">
        <f t="shared" si="2"/>
        <v>5384756.0194672132</v>
      </c>
      <c r="P6" s="118"/>
    </row>
    <row r="7" spans="1:17" ht="14" customHeight="1">
      <c r="A7" s="187"/>
      <c r="B7" s="187" t="s">
        <v>2</v>
      </c>
      <c r="C7" s="191">
        <f>C37</f>
        <v>0</v>
      </c>
      <c r="D7" s="191">
        <f>('Balance Sheet'!O37)</f>
        <v>5681061.6970071578</v>
      </c>
      <c r="E7" s="191">
        <f>SUM('Balance Sheet'!AA37)</f>
        <v>10692768.481674347</v>
      </c>
      <c r="F7" s="191">
        <f>SUM('Balance Sheet'!AM37)</f>
        <v>26731769.3924172</v>
      </c>
      <c r="G7" s="191">
        <f>SUM('Balance Sheet'!AY37)</f>
        <v>71821040.110282972</v>
      </c>
      <c r="H7" s="191">
        <f>SUM('Balance Sheet'!BK37)</f>
        <v>191370393.16401258</v>
      </c>
      <c r="J7" s="1" t="s">
        <v>196</v>
      </c>
      <c r="K7" s="118">
        <f>D25</f>
        <v>28501609.834743612</v>
      </c>
      <c r="L7" s="118">
        <f t="shared" ref="L7:O7" si="3">E25</f>
        <v>31892946.70049233</v>
      </c>
      <c r="M7" s="118">
        <f t="shared" si="3"/>
        <v>48053595.22876095</v>
      </c>
      <c r="N7" s="118">
        <f t="shared" si="3"/>
        <v>97550814.096549392</v>
      </c>
      <c r="O7" s="118">
        <f t="shared" si="3"/>
        <v>231977643.19297034</v>
      </c>
    </row>
    <row r="8" spans="1:17" ht="14" customHeight="1">
      <c r="A8" s="187"/>
      <c r="B8" s="187" t="s">
        <v>90</v>
      </c>
      <c r="C8" s="191">
        <f t="shared" ref="C8:C26" si="4">C38</f>
        <v>0</v>
      </c>
      <c r="D8" s="191">
        <f>('Balance Sheet'!O38)</f>
        <v>980679.36216115975</v>
      </c>
      <c r="E8" s="191">
        <f>SUM('Balance Sheet'!AA38)</f>
        <v>2335762.0979818627</v>
      </c>
      <c r="F8" s="191">
        <f>SUM('Balance Sheet'!AM38)</f>
        <v>5563270.5131527577</v>
      </c>
      <c r="G8" s="191">
        <f>SUM('Balance Sheet'!AY38)</f>
        <v>13250484.212093448</v>
      </c>
      <c r="H8" s="191">
        <f>SUM('Balance Sheet'!BK38)</f>
        <v>31559732.973588146</v>
      </c>
    </row>
    <row r="9" spans="1:17" ht="14" customHeight="1">
      <c r="A9" s="187"/>
      <c r="B9" s="187" t="s">
        <v>4</v>
      </c>
      <c r="C9" s="191">
        <f t="shared" si="4"/>
        <v>0</v>
      </c>
      <c r="D9" s="191">
        <f>('Balance Sheet'!O39)</f>
        <v>49033.968108057983</v>
      </c>
      <c r="E9" s="191">
        <f>SUM('Balance Sheet'!AA39)</f>
        <v>116788.10489909314</v>
      </c>
      <c r="F9" s="191">
        <f>SUM('Balance Sheet'!AM39)</f>
        <v>278163.52565763786</v>
      </c>
      <c r="G9" s="191">
        <f>SUM('Balance Sheet'!AY39)</f>
        <v>662524.21060467244</v>
      </c>
      <c r="H9" s="191">
        <f>SUM('Balance Sheet'!BK39)</f>
        <v>1577986.6486794075</v>
      </c>
    </row>
    <row r="10" spans="1:17" ht="14" customHeight="1">
      <c r="A10" s="187"/>
      <c r="B10" s="187" t="s">
        <v>91</v>
      </c>
      <c r="C10" s="191">
        <f t="shared" si="4"/>
        <v>0</v>
      </c>
      <c r="D10" s="191">
        <f>('Balance Sheet'!O40)</f>
        <v>49851.200909858955</v>
      </c>
      <c r="E10" s="191">
        <f>SUM('Balance Sheet'!AA40)</f>
        <v>118734.57331407804</v>
      </c>
      <c r="F10" s="191">
        <f>SUM('Balance Sheet'!AM40)</f>
        <v>282799.5844185985</v>
      </c>
      <c r="G10" s="191">
        <f>SUM('Balance Sheet'!AY40)</f>
        <v>673566.28078141704</v>
      </c>
      <c r="H10" s="191">
        <f>SUM('Balance Sheet'!BK40)</f>
        <v>1604286.4261573975</v>
      </c>
    </row>
    <row r="11" spans="1:17" ht="14" customHeight="1">
      <c r="A11" s="187" t="s">
        <v>35</v>
      </c>
      <c r="B11" s="187"/>
      <c r="C11" s="191"/>
      <c r="D11" s="191"/>
      <c r="E11" s="191"/>
      <c r="F11" s="191"/>
      <c r="G11" s="191"/>
      <c r="H11" s="191"/>
    </row>
    <row r="12" spans="1:17" ht="14" customHeight="1">
      <c r="A12" s="187"/>
      <c r="B12" s="192" t="str">
        <f>'5) Amortization of PPE'!C5&amp;", net"</f>
        <v>PPE, net</v>
      </c>
      <c r="C12" s="191">
        <f t="shared" si="4"/>
        <v>0</v>
      </c>
      <c r="D12" s="191">
        <f>('Balance Sheet'!O42)</f>
        <v>22250000</v>
      </c>
      <c r="E12" s="191">
        <f>SUM('Balance Sheet'!AA42)</f>
        <v>19500000</v>
      </c>
      <c r="F12" s="191">
        <f>SUM('Balance Sheet'!AM42)</f>
        <v>16749999.999999996</v>
      </c>
      <c r="G12" s="191">
        <f>SUM('Balance Sheet'!AY42)</f>
        <v>14000000.000000002</v>
      </c>
      <c r="H12" s="191">
        <f>SUM('Balance Sheet'!BK42)</f>
        <v>11250000.000000009</v>
      </c>
    </row>
    <row r="13" spans="1:17" ht="14" customHeight="1">
      <c r="A13" s="187"/>
      <c r="B13" s="192" t="str">
        <f>'5) Amortization of PPE'!C23</f>
        <v>Land</v>
      </c>
      <c r="C13" s="191">
        <f t="shared" si="4"/>
        <v>0</v>
      </c>
      <c r="D13" s="191">
        <f>('Balance Sheet'!O43)</f>
        <v>0</v>
      </c>
      <c r="E13" s="191">
        <f>SUM('Balance Sheet'!AA43)</f>
        <v>0</v>
      </c>
      <c r="F13" s="191">
        <f>SUM('Balance Sheet'!AM43)</f>
        <v>0</v>
      </c>
      <c r="G13" s="191">
        <f>SUM('Balance Sheet'!AY43)</f>
        <v>0</v>
      </c>
      <c r="H13" s="191">
        <f>SUM('Balance Sheet'!BK43)</f>
        <v>0</v>
      </c>
    </row>
    <row r="14" spans="1:17" ht="14" customHeight="1" thickBot="1">
      <c r="A14" s="193" t="s">
        <v>17</v>
      </c>
      <c r="B14" s="194"/>
      <c r="C14" s="195">
        <f t="shared" si="4"/>
        <v>0</v>
      </c>
      <c r="D14" s="195">
        <f>SUM('Balance Sheet'!O44)</f>
        <v>29010626.228186235</v>
      </c>
      <c r="E14" s="195">
        <f>SUM('Balance Sheet'!AA44)</f>
        <v>32764053.257869381</v>
      </c>
      <c r="F14" s="195">
        <f>SUM('Balance Sheet'!AM44)</f>
        <v>49606003.015646189</v>
      </c>
      <c r="G14" s="195">
        <f>SUM('Balance Sheet'!AY44)</f>
        <v>100407614.8137625</v>
      </c>
      <c r="H14" s="195">
        <f>SUM('Balance Sheet'!BK44)</f>
        <v>237362399.21243751</v>
      </c>
    </row>
    <row r="15" spans="1:17" ht="14" customHeight="1">
      <c r="A15" s="196"/>
      <c r="B15" s="196"/>
      <c r="C15" s="197"/>
      <c r="D15" s="197"/>
      <c r="E15" s="197"/>
      <c r="F15" s="197"/>
      <c r="G15" s="197"/>
      <c r="H15" s="197"/>
    </row>
    <row r="16" spans="1:17" ht="14" customHeight="1">
      <c r="A16" s="198" t="s">
        <v>3</v>
      </c>
      <c r="B16" s="199"/>
      <c r="C16" s="197"/>
      <c r="D16" s="197"/>
      <c r="E16" s="197"/>
      <c r="F16" s="197"/>
      <c r="G16" s="197"/>
      <c r="H16" s="197"/>
      <c r="L16" s="180"/>
      <c r="M16" s="180"/>
      <c r="N16" s="180"/>
      <c r="O16" s="180"/>
      <c r="P16" s="180"/>
      <c r="Q16" s="180"/>
    </row>
    <row r="17" spans="1:16" ht="14" customHeight="1">
      <c r="A17" s="187" t="s">
        <v>36</v>
      </c>
      <c r="B17" s="187"/>
      <c r="C17" s="200"/>
      <c r="D17" s="200"/>
      <c r="E17" s="200"/>
      <c r="F17" s="200"/>
      <c r="G17" s="200"/>
      <c r="H17" s="200"/>
      <c r="K17" s="182"/>
      <c r="L17" s="118"/>
      <c r="M17" s="118"/>
      <c r="N17" s="118"/>
      <c r="O17" s="118"/>
      <c r="P17" s="118"/>
    </row>
    <row r="18" spans="1:16" ht="14" customHeight="1">
      <c r="A18" s="187"/>
      <c r="B18" s="187" t="s">
        <v>59</v>
      </c>
      <c r="C18" s="191">
        <f t="shared" si="4"/>
        <v>0</v>
      </c>
      <c r="D18" s="191">
        <f>SUM('Balance Sheet'!O48)</f>
        <v>509016.39344262297</v>
      </c>
      <c r="E18" s="191">
        <f>SUM('Balance Sheet'!AA48)</f>
        <v>871106.55737704912</v>
      </c>
      <c r="F18" s="191">
        <f>SUM('Balance Sheet'!AM48)</f>
        <v>1552407.7868852459</v>
      </c>
      <c r="G18" s="191">
        <f>SUM('Balance Sheet'!AY48)</f>
        <v>2856800.7172131147</v>
      </c>
      <c r="H18" s="191">
        <f>SUM('Balance Sheet'!BK48)</f>
        <v>5384756.0194672132</v>
      </c>
      <c r="L18" s="181"/>
      <c r="M18" s="181"/>
      <c r="N18" s="181"/>
      <c r="O18" s="181"/>
      <c r="P18" s="181"/>
    </row>
    <row r="19" spans="1:16" ht="14" customHeight="1">
      <c r="A19" s="187" t="s">
        <v>187</v>
      </c>
      <c r="B19" s="187"/>
      <c r="C19" s="191"/>
      <c r="D19" s="191"/>
      <c r="E19" s="191"/>
      <c r="F19" s="191"/>
      <c r="G19" s="191"/>
      <c r="H19" s="191"/>
    </row>
    <row r="20" spans="1:16" ht="14" customHeight="1">
      <c r="A20" s="187"/>
      <c r="B20" s="187" t="s">
        <v>99</v>
      </c>
      <c r="C20" s="191">
        <f t="shared" si="4"/>
        <v>0</v>
      </c>
      <c r="D20" s="191">
        <f>SUM('Balance Sheet'!O50)</f>
        <v>0</v>
      </c>
      <c r="E20" s="191">
        <f>SUM('Balance Sheet'!AA50)</f>
        <v>0</v>
      </c>
      <c r="F20" s="191">
        <f>SUM('Balance Sheet'!AM50)</f>
        <v>0</v>
      </c>
      <c r="G20" s="191">
        <f>SUM('Balance Sheet'!AY50)</f>
        <v>0</v>
      </c>
      <c r="H20" s="191">
        <f>SUM('Balance Sheet'!BK50)</f>
        <v>0</v>
      </c>
    </row>
    <row r="21" spans="1:16" ht="14" customHeight="1">
      <c r="A21" s="201" t="s">
        <v>189</v>
      </c>
      <c r="B21" s="201"/>
      <c r="C21" s="496">
        <f t="shared" si="4"/>
        <v>0</v>
      </c>
      <c r="D21" s="202">
        <f>SUM('Balance Sheet'!O51)</f>
        <v>509016.39344262297</v>
      </c>
      <c r="E21" s="202">
        <f>SUM('Balance Sheet'!AA51)</f>
        <v>871106.55737704912</v>
      </c>
      <c r="F21" s="202">
        <f>SUM('Balance Sheet'!AM51)</f>
        <v>1552407.7868852459</v>
      </c>
      <c r="G21" s="202">
        <f>SUM('Balance Sheet'!AY51)</f>
        <v>2856800.7172131147</v>
      </c>
      <c r="H21" s="202">
        <f>SUM('Balance Sheet'!BK51)</f>
        <v>5384756.0194672132</v>
      </c>
    </row>
    <row r="22" spans="1:16" ht="14" customHeight="1">
      <c r="A22" s="198" t="s">
        <v>5</v>
      </c>
      <c r="B22" s="199"/>
      <c r="C22" s="197"/>
      <c r="D22" s="197"/>
      <c r="E22" s="197"/>
      <c r="F22" s="197"/>
      <c r="G22" s="197"/>
      <c r="H22" s="197"/>
    </row>
    <row r="23" spans="1:16" ht="14" customHeight="1">
      <c r="A23" s="199"/>
      <c r="B23" s="199" t="s">
        <v>37</v>
      </c>
      <c r="C23" s="191">
        <f t="shared" si="4"/>
        <v>0</v>
      </c>
      <c r="D23" s="191">
        <f>('Balance Sheet'!O53)</f>
        <v>30000000</v>
      </c>
      <c r="E23" s="191">
        <f>('Balance Sheet'!AA53)</f>
        <v>30000000</v>
      </c>
      <c r="F23" s="191">
        <f>('Balance Sheet'!AM53)</f>
        <v>30000000</v>
      </c>
      <c r="G23" s="191">
        <f>('Balance Sheet'!AY53)</f>
        <v>30000000</v>
      </c>
      <c r="H23" s="191">
        <f>('Balance Sheet'!BK53)</f>
        <v>30000000</v>
      </c>
    </row>
    <row r="24" spans="1:16" ht="14" customHeight="1">
      <c r="A24" s="199"/>
      <c r="B24" s="199" t="s">
        <v>38</v>
      </c>
      <c r="C24" s="191">
        <f t="shared" si="4"/>
        <v>0</v>
      </c>
      <c r="D24" s="191">
        <f>('Balance Sheet'!O54)</f>
        <v>-1498390.1652563871</v>
      </c>
      <c r="E24" s="191">
        <f>('Balance Sheet'!AA54)</f>
        <v>1892946.7004923315</v>
      </c>
      <c r="F24" s="191">
        <f>('Balance Sheet'!AM54)</f>
        <v>18053595.22876095</v>
      </c>
      <c r="G24" s="191">
        <f>('Balance Sheet'!AY54)</f>
        <v>67550814.096549392</v>
      </c>
      <c r="H24" s="191">
        <f>('Balance Sheet'!BK54)</f>
        <v>201977643.19297034</v>
      </c>
    </row>
    <row r="25" spans="1:16" ht="14" customHeight="1">
      <c r="A25" s="201" t="s">
        <v>39</v>
      </c>
      <c r="B25" s="201"/>
      <c r="C25" s="496">
        <f t="shared" si="4"/>
        <v>0</v>
      </c>
      <c r="D25" s="202">
        <f>SUM('Balance Sheet'!O55)</f>
        <v>28501609.834743612</v>
      </c>
      <c r="E25" s="202">
        <f>SUM('Balance Sheet'!AA55)</f>
        <v>31892946.70049233</v>
      </c>
      <c r="F25" s="202">
        <f>SUM('Balance Sheet'!AM55)</f>
        <v>48053595.22876095</v>
      </c>
      <c r="G25" s="202">
        <f>SUM('Balance Sheet'!AY55)</f>
        <v>97550814.096549392</v>
      </c>
      <c r="H25" s="202">
        <f>SUM('Balance Sheet'!BK55)</f>
        <v>231977643.19297034</v>
      </c>
    </row>
    <row r="26" spans="1:16" ht="14" customHeight="1" thickBot="1">
      <c r="A26" s="193" t="s">
        <v>188</v>
      </c>
      <c r="B26" s="194"/>
      <c r="C26" s="195">
        <f t="shared" si="4"/>
        <v>0</v>
      </c>
      <c r="D26" s="195">
        <f>SUM('Balance Sheet'!O56)</f>
        <v>29010626.228186235</v>
      </c>
      <c r="E26" s="195">
        <f>SUM('Balance Sheet'!AA56)</f>
        <v>32764053.257869378</v>
      </c>
      <c r="F26" s="195">
        <f>SUM('Balance Sheet'!AM56)</f>
        <v>49606003.015646197</v>
      </c>
      <c r="G26" s="195">
        <f>SUM('Balance Sheet'!AY56)</f>
        <v>100407614.8137625</v>
      </c>
      <c r="H26" s="195">
        <f>SUM('Balance Sheet'!BK56)</f>
        <v>237362399.21243754</v>
      </c>
    </row>
    <row r="28" spans="1:16" customFormat="1" ht="14">
      <c r="A28" s="411" t="s">
        <v>270</v>
      </c>
      <c r="B28" s="412"/>
      <c r="C28" s="413">
        <f>C15-C26</f>
        <v>0</v>
      </c>
      <c r="D28" s="413">
        <f>ROUNDDOWN(D14-D26,0)</f>
        <v>0</v>
      </c>
      <c r="E28" s="413">
        <f t="shared" ref="E28:H28" si="5">ROUNDDOWN(E14-E26,0)</f>
        <v>0</v>
      </c>
      <c r="F28" s="413">
        <f t="shared" si="5"/>
        <v>0</v>
      </c>
      <c r="G28" s="413">
        <f t="shared" si="5"/>
        <v>0</v>
      </c>
      <c r="H28" s="413">
        <f t="shared" si="5"/>
        <v>0</v>
      </c>
    </row>
    <row r="30" spans="1:16" s="94" customFormat="1" ht="14" customHeight="1">
      <c r="A30" s="263" t="s">
        <v>92</v>
      </c>
    </row>
    <row r="31" spans="1:16" s="94" customFormat="1" ht="14" customHeight="1">
      <c r="A31" s="77" t="str">
        <f>"(expressed in "&amp;'2) Assumptions'!D6&amp;")"</f>
        <v>(expressed in Euro (€))</v>
      </c>
    </row>
    <row r="32" spans="1:16" s="94" customFormat="1" ht="14" customHeight="1">
      <c r="A32" s="248" t="str">
        <f>"For the years ended"&amp;" "&amp;TEXT(EOMONTH('2) Assumptions'!D5,11),"mmmm dd")&amp;","</f>
        <v>For the years ended December 31,</v>
      </c>
    </row>
    <row r="33" spans="1:69" s="249" customFormat="1" ht="14" customHeight="1">
      <c r="A33" s="78"/>
      <c r="B33" s="78"/>
      <c r="C33" s="78"/>
      <c r="D33" s="546">
        <f>EDATE('2) Assumptions'!$D$5,11)</f>
        <v>45261</v>
      </c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>
        <f>EDATE('2) Assumptions'!$D$5,23)</f>
        <v>45627</v>
      </c>
      <c r="Q33" s="546"/>
      <c r="R33" s="546"/>
      <c r="S33" s="546"/>
      <c r="T33" s="546"/>
      <c r="U33" s="546"/>
      <c r="V33" s="546"/>
      <c r="W33" s="546"/>
      <c r="X33" s="546"/>
      <c r="Y33" s="546"/>
      <c r="Z33" s="546"/>
      <c r="AA33" s="546"/>
      <c r="AB33" s="546">
        <f>EDATE('2) Assumptions'!$D$5,35)</f>
        <v>45992</v>
      </c>
      <c r="AC33" s="546"/>
      <c r="AD33" s="546"/>
      <c r="AE33" s="546"/>
      <c r="AF33" s="546"/>
      <c r="AG33" s="546"/>
      <c r="AH33" s="546"/>
      <c r="AI33" s="546"/>
      <c r="AJ33" s="546"/>
      <c r="AK33" s="546"/>
      <c r="AL33" s="546"/>
      <c r="AM33" s="546"/>
      <c r="AN33" s="546">
        <f>EDATE('2) Assumptions'!$D$5,47)</f>
        <v>46357</v>
      </c>
      <c r="AO33" s="546"/>
      <c r="AP33" s="546"/>
      <c r="AQ33" s="546"/>
      <c r="AR33" s="546"/>
      <c r="AS33" s="546"/>
      <c r="AT33" s="546"/>
      <c r="AU33" s="546"/>
      <c r="AV33" s="546"/>
      <c r="AW33" s="546"/>
      <c r="AX33" s="546"/>
      <c r="AY33" s="546"/>
      <c r="AZ33" s="546">
        <f>EDATE('2) Assumptions'!$D$5,59)</f>
        <v>46722</v>
      </c>
      <c r="BA33" s="546"/>
      <c r="BB33" s="546"/>
      <c r="BC33" s="546"/>
      <c r="BD33" s="546"/>
      <c r="BE33" s="546"/>
      <c r="BF33" s="546"/>
      <c r="BG33" s="546"/>
      <c r="BH33" s="546"/>
      <c r="BI33" s="546"/>
      <c r="BJ33" s="546"/>
      <c r="BK33" s="546"/>
    </row>
    <row r="34" spans="1:69" s="249" customFormat="1" ht="14" customHeight="1">
      <c r="A34" s="250"/>
      <c r="B34" s="250"/>
      <c r="C34" s="250" t="s">
        <v>25</v>
      </c>
      <c r="D34" s="251">
        <f>EDATE('2) Assumptions'!$D$5,0)</f>
        <v>44927</v>
      </c>
      <c r="E34" s="251">
        <f>EDATE('2) Assumptions'!$D$5,1)</f>
        <v>44958</v>
      </c>
      <c r="F34" s="251">
        <f>EDATE('2) Assumptions'!$D$5,2)</f>
        <v>44986</v>
      </c>
      <c r="G34" s="251">
        <f>EDATE('2) Assumptions'!$D$5,3)</f>
        <v>45017</v>
      </c>
      <c r="H34" s="251">
        <f>EDATE('2) Assumptions'!$D$5,4)</f>
        <v>45047</v>
      </c>
      <c r="I34" s="251">
        <f>EDATE('2) Assumptions'!$D$5,5)</f>
        <v>45078</v>
      </c>
      <c r="J34" s="251">
        <f>EDATE('2) Assumptions'!$D$5,6)</f>
        <v>45108</v>
      </c>
      <c r="K34" s="251">
        <f>EDATE('2) Assumptions'!$D$5,7)</f>
        <v>45139</v>
      </c>
      <c r="L34" s="251">
        <f>EDATE('2) Assumptions'!$D$5,8)</f>
        <v>45170</v>
      </c>
      <c r="M34" s="251">
        <f>EDATE('2) Assumptions'!$D$5,9)</f>
        <v>45200</v>
      </c>
      <c r="N34" s="251">
        <f>EDATE('2) Assumptions'!$D$5,10)</f>
        <v>45231</v>
      </c>
      <c r="O34" s="251">
        <f>EDATE('2) Assumptions'!$D$5,11)</f>
        <v>45261</v>
      </c>
      <c r="P34" s="251">
        <f>EDATE('2) Assumptions'!$D$5,0)</f>
        <v>44927</v>
      </c>
      <c r="Q34" s="251">
        <f>EDATE('2) Assumptions'!$D$5,1)</f>
        <v>44958</v>
      </c>
      <c r="R34" s="251">
        <f>EDATE('2) Assumptions'!$D$5,2)</f>
        <v>44986</v>
      </c>
      <c r="S34" s="251">
        <f>EDATE('2) Assumptions'!$D$5,3)</f>
        <v>45017</v>
      </c>
      <c r="T34" s="251">
        <f>EDATE('2) Assumptions'!$D$5,4)</f>
        <v>45047</v>
      </c>
      <c r="U34" s="251">
        <f>EDATE('2) Assumptions'!$D$5,5)</f>
        <v>45078</v>
      </c>
      <c r="V34" s="251">
        <f>EDATE('2) Assumptions'!$D$5,6)</f>
        <v>45108</v>
      </c>
      <c r="W34" s="251">
        <f>EDATE('2) Assumptions'!$D$5,7)</f>
        <v>45139</v>
      </c>
      <c r="X34" s="251">
        <f>EDATE('2) Assumptions'!$D$5,8)</f>
        <v>45170</v>
      </c>
      <c r="Y34" s="251">
        <f>EDATE('2) Assumptions'!$D$5,9)</f>
        <v>45200</v>
      </c>
      <c r="Z34" s="251">
        <f>EDATE('2) Assumptions'!$D$5,10)</f>
        <v>45231</v>
      </c>
      <c r="AA34" s="251">
        <f>EDATE('2) Assumptions'!$D$5,11)</f>
        <v>45261</v>
      </c>
      <c r="AB34" s="251">
        <f>EDATE('2) Assumptions'!$D$5,0)</f>
        <v>44927</v>
      </c>
      <c r="AC34" s="251">
        <f>EDATE('2) Assumptions'!$D$5,1)</f>
        <v>44958</v>
      </c>
      <c r="AD34" s="251">
        <f>EDATE('2) Assumptions'!$D$5,2)</f>
        <v>44986</v>
      </c>
      <c r="AE34" s="251">
        <f>EDATE('2) Assumptions'!$D$5,3)</f>
        <v>45017</v>
      </c>
      <c r="AF34" s="251">
        <f>EDATE('2) Assumptions'!$D$5,4)</f>
        <v>45047</v>
      </c>
      <c r="AG34" s="251">
        <f>EDATE('2) Assumptions'!$D$5,5)</f>
        <v>45078</v>
      </c>
      <c r="AH34" s="251">
        <f>EDATE('2) Assumptions'!$D$5,6)</f>
        <v>45108</v>
      </c>
      <c r="AI34" s="251">
        <f>EDATE('2) Assumptions'!$D$5,7)</f>
        <v>45139</v>
      </c>
      <c r="AJ34" s="251">
        <f>EDATE('2) Assumptions'!$D$5,8)</f>
        <v>45170</v>
      </c>
      <c r="AK34" s="251">
        <f>EDATE('2) Assumptions'!$D$5,9)</f>
        <v>45200</v>
      </c>
      <c r="AL34" s="251">
        <f>EDATE('2) Assumptions'!$D$5,10)</f>
        <v>45231</v>
      </c>
      <c r="AM34" s="251">
        <f>EDATE('2) Assumptions'!$D$5,11)</f>
        <v>45261</v>
      </c>
      <c r="AN34" s="251">
        <f>EDATE('2) Assumptions'!$D$5,0)</f>
        <v>44927</v>
      </c>
      <c r="AO34" s="251">
        <f>EDATE('2) Assumptions'!$D$5,1)</f>
        <v>44958</v>
      </c>
      <c r="AP34" s="251">
        <f>EDATE('2) Assumptions'!$D$5,2)</f>
        <v>44986</v>
      </c>
      <c r="AQ34" s="251">
        <f>EDATE('2) Assumptions'!$D$5,3)</f>
        <v>45017</v>
      </c>
      <c r="AR34" s="251">
        <f>EDATE('2) Assumptions'!$D$5,4)</f>
        <v>45047</v>
      </c>
      <c r="AS34" s="251">
        <f>EDATE('2) Assumptions'!$D$5,5)</f>
        <v>45078</v>
      </c>
      <c r="AT34" s="251">
        <f>EDATE('2) Assumptions'!$D$5,6)</f>
        <v>45108</v>
      </c>
      <c r="AU34" s="251">
        <f>EDATE('2) Assumptions'!$D$5,7)</f>
        <v>45139</v>
      </c>
      <c r="AV34" s="251">
        <f>EDATE('2) Assumptions'!$D$5,8)</f>
        <v>45170</v>
      </c>
      <c r="AW34" s="251">
        <f>EDATE('2) Assumptions'!$D$5,9)</f>
        <v>45200</v>
      </c>
      <c r="AX34" s="251">
        <f>EDATE('2) Assumptions'!$D$5,10)</f>
        <v>45231</v>
      </c>
      <c r="AY34" s="251">
        <f>EDATE('2) Assumptions'!$D$5,11)</f>
        <v>45261</v>
      </c>
      <c r="AZ34" s="251">
        <f>EDATE('2) Assumptions'!$D$5,0)</f>
        <v>44927</v>
      </c>
      <c r="BA34" s="251">
        <f>EDATE('2) Assumptions'!$D$5,1)</f>
        <v>44958</v>
      </c>
      <c r="BB34" s="251">
        <f>EDATE('2) Assumptions'!$D$5,2)</f>
        <v>44986</v>
      </c>
      <c r="BC34" s="251">
        <f>EDATE('2) Assumptions'!$D$5,3)</f>
        <v>45017</v>
      </c>
      <c r="BD34" s="251">
        <f>EDATE('2) Assumptions'!$D$5,4)</f>
        <v>45047</v>
      </c>
      <c r="BE34" s="251">
        <f>EDATE('2) Assumptions'!$D$5,5)</f>
        <v>45078</v>
      </c>
      <c r="BF34" s="251">
        <f>EDATE('2) Assumptions'!$D$5,6)</f>
        <v>45108</v>
      </c>
      <c r="BG34" s="251">
        <f>EDATE('2) Assumptions'!$D$5,7)</f>
        <v>45139</v>
      </c>
      <c r="BH34" s="251">
        <f>EDATE('2) Assumptions'!$D$5,8)</f>
        <v>45170</v>
      </c>
      <c r="BI34" s="251">
        <f>EDATE('2) Assumptions'!$D$5,9)</f>
        <v>45200</v>
      </c>
      <c r="BJ34" s="251">
        <f>EDATE('2) Assumptions'!$D$5,10)</f>
        <v>45231</v>
      </c>
      <c r="BK34" s="251">
        <f>EDATE('2) Assumptions'!$D$5,11)</f>
        <v>45261</v>
      </c>
    </row>
    <row r="35" spans="1:69" s="215" customFormat="1" ht="14" customHeight="1">
      <c r="A35" s="84" t="s">
        <v>1</v>
      </c>
      <c r="B35" s="70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</row>
    <row r="36" spans="1:69" s="215" customFormat="1" ht="14" customHeight="1">
      <c r="A36" s="70" t="s">
        <v>34</v>
      </c>
      <c r="B36" s="70"/>
      <c r="C36" s="253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 t="s">
        <v>95</v>
      </c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</row>
    <row r="37" spans="1:69" s="215" customFormat="1" ht="14" customHeight="1">
      <c r="A37" s="70"/>
      <c r="B37" s="70" t="s">
        <v>2</v>
      </c>
      <c r="C37" s="81">
        <f>'8) Opening Balance Sheet'!C7</f>
        <v>0</v>
      </c>
      <c r="D37" s="81">
        <f>'Cash Flow'!C56</f>
        <v>4909262.2950819656</v>
      </c>
      <c r="E37" s="81">
        <f>'Cash Flow'!D56</f>
        <v>4790593.2377049169</v>
      </c>
      <c r="F37" s="81">
        <f>'Cash Flow'!E56</f>
        <v>4701836.5010245889</v>
      </c>
      <c r="G37" s="81">
        <f>'Cash Flow'!F56</f>
        <v>4645235.5090932362</v>
      </c>
      <c r="H37" s="81">
        <f>'Cash Flow'!G56</f>
        <v>4623201.9427670324</v>
      </c>
      <c r="I37" s="81">
        <f>'Cash Flow'!H56</f>
        <v>4638328.3589663627</v>
      </c>
      <c r="J37" s="81">
        <f>'Cash Flow'!I56</f>
        <v>4693401.7563806437</v>
      </c>
      <c r="K37" s="81">
        <f>'Cash Flow'!J56</f>
        <v>4791418.1586009953</v>
      </c>
      <c r="L37" s="81">
        <f>'Cash Flow'!K56</f>
        <v>4935598.2909878734</v>
      </c>
      <c r="M37" s="81">
        <f>'Cash Flow'!L56</f>
        <v>5129404.4333037669</v>
      </c>
      <c r="N37" s="81">
        <f>'Cash Flow'!M56</f>
        <v>5376558.536293353</v>
      </c>
      <c r="O37" s="81">
        <f>'Cash Flow'!N56</f>
        <v>5681061.6970071578</v>
      </c>
      <c r="P37" s="81">
        <f>'Cash Flow'!O56</f>
        <v>6041180.2587089241</v>
      </c>
      <c r="Q37" s="81">
        <f>'Cash Flow'!P56</f>
        <v>6105482.6613088148</v>
      </c>
      <c r="R37" s="81">
        <f>'Cash Flow'!Q56</f>
        <v>6241029.6191036971</v>
      </c>
      <c r="S37" s="81">
        <f>'Cash Flow'!R56</f>
        <v>6435033.3292482002</v>
      </c>
      <c r="T37" s="81">
        <f>'Cash Flow'!S56</f>
        <v>6691865.9582785405</v>
      </c>
      <c r="U37" s="81">
        <f>'Cash Flow'!T56</f>
        <v>7016239.6751111569</v>
      </c>
      <c r="V37" s="81">
        <f>'Cash Flow'!U56</f>
        <v>7413220.061331219</v>
      </c>
      <c r="W37" s="81">
        <f>'Cash Flow'!V56</f>
        <v>7888252.6171427863</v>
      </c>
      <c r="X37" s="81">
        <f>'Cash Flow'!W56</f>
        <v>8447191.255265221</v>
      </c>
      <c r="Y37" s="81">
        <f>'Cash Flow'!X56</f>
        <v>9096328.931871837</v>
      </c>
      <c r="Z37" s="81">
        <f>'Cash Flow'!Y56</f>
        <v>9842430.5748489499</v>
      </c>
      <c r="AA37" s="81">
        <f>'Cash Flow'!Z56</f>
        <v>10692768.481674347</v>
      </c>
      <c r="AB37" s="81">
        <f>'Cash Flow'!AA56</f>
        <v>11794111.757894844</v>
      </c>
      <c r="AC37" s="81">
        <f>'Cash Flow'!AB56</f>
        <v>12334611.837016817</v>
      </c>
      <c r="AD37" s="81">
        <f>'Cash Flow'!AC56</f>
        <v>13004604.300979188</v>
      </c>
      <c r="AE37" s="81">
        <f>'Cash Flow'!AD56</f>
        <v>13813801.078644987</v>
      </c>
      <c r="AF37" s="81">
        <f>'Cash Flow'!AE56</f>
        <v>14772642.493541971</v>
      </c>
      <c r="AG37" s="81">
        <f>'Cash Flow'!AF56</f>
        <v>15892351.893462479</v>
      </c>
      <c r="AH37" s="81">
        <f>'Cash Flow'!AG56</f>
        <v>17184994.377283275</v>
      </c>
      <c r="AI37" s="81">
        <f>'Cash Flow'!AH56</f>
        <v>18663539.926296882</v>
      </c>
      <c r="AJ37" s="81">
        <f>'Cash Flow'!AI56</f>
        <v>20341931.270392757</v>
      </c>
      <c r="AK37" s="81">
        <f>'Cash Flow'!AJ56</f>
        <v>22235156.844202075</v>
      </c>
      <c r="AL37" s="81">
        <f>'Cash Flow'!AK56</f>
        <v>24359329.214953341</v>
      </c>
      <c r="AM37" s="81">
        <f>'Cash Flow'!AL56</f>
        <v>26731769.3924172</v>
      </c>
      <c r="AN37" s="81">
        <f>'Cash Flow'!AM56</f>
        <v>29637128.400237471</v>
      </c>
      <c r="AO37" s="81">
        <f>'Cash Flow'!AN56</f>
        <v>31524998.961862113</v>
      </c>
      <c r="AP37" s="81">
        <f>'Cash Flow'!AO56</f>
        <v>33721291.843928911</v>
      </c>
      <c r="AQ37" s="81">
        <f>'Cash Flow'!AP56</f>
        <v>36249138.720471032</v>
      </c>
      <c r="AR37" s="81">
        <f>'Cash Flow'!AQ56</f>
        <v>39133406.141074128</v>
      </c>
      <c r="AS37" s="81">
        <f>'Cash Flow'!AR56</f>
        <v>42400825.646542765</v>
      </c>
      <c r="AT37" s="81">
        <f>'Cash Flow'!AS56</f>
        <v>46080133.643241867</v>
      </c>
      <c r="AU37" s="81">
        <f>'Cash Flow'!AT56</f>
        <v>50202221.768013716</v>
      </c>
      <c r="AV37" s="81">
        <f>'Cash Flow'!AU56</f>
        <v>54800298.530463763</v>
      </c>
      <c r="AW37" s="81">
        <f>'Cash Flow'!AV56</f>
        <v>59910063.078417875</v>
      </c>
      <c r="AX37" s="81">
        <f>'Cash Flow'!AW56</f>
        <v>65569891.995788857</v>
      </c>
      <c r="AY37" s="81">
        <f>'Cash Flow'!AX56</f>
        <v>71821040.110282972</v>
      </c>
      <c r="AZ37" s="81">
        <f>'Cash Flow'!AY56</f>
        <v>79223432.845579177</v>
      </c>
      <c r="BA37" s="81">
        <f>'Cash Flow'!AZ56</f>
        <v>84781213.525796711</v>
      </c>
      <c r="BB37" s="81">
        <f>'Cash Flow'!BA56</f>
        <v>91073588.196727827</v>
      </c>
      <c r="BC37" s="81">
        <f>'Cash Flow'!BB56</f>
        <v>98155651.407676041</v>
      </c>
      <c r="BD37" s="81">
        <f>'Cash Flow'!BC56</f>
        <v>106086629.79914264</v>
      </c>
      <c r="BE37" s="81">
        <f>'Cash Flow'!BD56</f>
        <v>114930192.0096665</v>
      </c>
      <c r="BF37" s="81">
        <f>'Cash Flow'!BE56</f>
        <v>124754781.82567692</v>
      </c>
      <c r="BG37" s="81">
        <f>'Cash Flow'!BF56</f>
        <v>135633976.31758538</v>
      </c>
      <c r="BH37" s="81">
        <f>'Cash Flow'!BG56</f>
        <v>147646870.83608425</v>
      </c>
      <c r="BI37" s="81">
        <f>'Cash Flow'!BH56</f>
        <v>160878492.88316777</v>
      </c>
      <c r="BJ37" s="81">
        <f>'Cash Flow'!BI56</f>
        <v>175420247.02347985</v>
      </c>
      <c r="BK37" s="81">
        <f>'Cash Flow'!BJ56</f>
        <v>191370393.16401258</v>
      </c>
    </row>
    <row r="38" spans="1:69" s="215" customFormat="1" ht="14" customHeight="1">
      <c r="A38" s="70"/>
      <c r="B38" s="70" t="s">
        <v>90</v>
      </c>
      <c r="C38" s="81">
        <f>'8) Opening Balance Sheet'!C8</f>
        <v>0</v>
      </c>
      <c r="D38" s="81">
        <f>('2) Assumptions'!$D$10/30.5)*'Income Statement'!C38</f>
        <v>442622.95081967214</v>
      </c>
      <c r="E38" s="81">
        <f>('2) Assumptions'!$D$10/30.5)*'Income Statement'!D38</f>
        <v>475819.67213114753</v>
      </c>
      <c r="F38" s="81">
        <f>('2) Assumptions'!$D$10/30.5)*'Income Statement'!E38</f>
        <v>511506.14754098357</v>
      </c>
      <c r="G38" s="81">
        <f>('2) Assumptions'!$D$10/30.5)*'Income Statement'!F38</f>
        <v>549869.10860655736</v>
      </c>
      <c r="H38" s="81">
        <f>('2) Assumptions'!$D$10/30.5)*'Income Statement'!G38</f>
        <v>591109.29175204912</v>
      </c>
      <c r="I38" s="81">
        <f>('2) Assumptions'!$D$10/30.5)*'Income Statement'!H38</f>
        <v>635442.48863345291</v>
      </c>
      <c r="J38" s="81">
        <f>('2) Assumptions'!$D$10/30.5)*'Income Statement'!I38</f>
        <v>683100.67528096191</v>
      </c>
      <c r="K38" s="81">
        <f>('2) Assumptions'!$D$10/30.5)*'Income Statement'!J38</f>
        <v>734333.22592703393</v>
      </c>
      <c r="L38" s="81">
        <f>('2) Assumptions'!$D$10/30.5)*'Income Statement'!K38</f>
        <v>789408.2178715613</v>
      </c>
      <c r="M38" s="81">
        <f>('2) Assumptions'!$D$10/30.5)*'Income Statement'!L38</f>
        <v>848613.83421192842</v>
      </c>
      <c r="N38" s="81">
        <f>('2) Assumptions'!$D$10/30.5)*'Income Statement'!M38</f>
        <v>912259.87177782296</v>
      </c>
      <c r="O38" s="81">
        <f>('2) Assumptions'!$D$10/30.5)*'Income Statement'!N38</f>
        <v>980679.36216115975</v>
      </c>
      <c r="P38" s="81">
        <f>('2) Assumptions'!$E$10/30.5)*'Income Statement'!O38</f>
        <v>1054230.3143232467</v>
      </c>
      <c r="Q38" s="81">
        <f>('2) Assumptions'!$E$10/30.5)*'Income Statement'!P38</f>
        <v>1133297.58789749</v>
      </c>
      <c r="R38" s="81">
        <f>('2) Assumptions'!$E$10/30.5)*'Income Statement'!Q38</f>
        <v>1218294.9069898017</v>
      </c>
      <c r="S38" s="81">
        <f>('2) Assumptions'!$E$10/30.5)*'Income Statement'!R38</f>
        <v>1309667.025014037</v>
      </c>
      <c r="T38" s="81">
        <f>('2) Assumptions'!$E$10/30.5)*'Income Statement'!S38</f>
        <v>1407892.0518900896</v>
      </c>
      <c r="U38" s="81">
        <f>('2) Assumptions'!$E$10/30.5)*'Income Statement'!T38</f>
        <v>1513483.9557818461</v>
      </c>
      <c r="V38" s="81">
        <f>('2) Assumptions'!$E$10/30.5)*'Income Statement'!U38</f>
        <v>1626995.2524654847</v>
      </c>
      <c r="W38" s="81">
        <f>('2) Assumptions'!$E$10/30.5)*'Income Statement'!V38</f>
        <v>1749019.8964003955</v>
      </c>
      <c r="X38" s="81">
        <f>('2) Assumptions'!$E$10/30.5)*'Income Statement'!W38</f>
        <v>1880196.3886304253</v>
      </c>
      <c r="Y38" s="81">
        <f>('2) Assumptions'!$E$10/30.5)*'Income Statement'!X38</f>
        <v>2021211.1177777075</v>
      </c>
      <c r="Z38" s="81">
        <f>('2) Assumptions'!$E$10/30.5)*'Income Statement'!Y38</f>
        <v>2172801.951611035</v>
      </c>
      <c r="AA38" s="81">
        <f>('2) Assumptions'!$E$10/30.5)*'Income Statement'!Z38</f>
        <v>2335762.0979818627</v>
      </c>
      <c r="AB38" s="81">
        <f>('2) Assumptions'!$F$10/30.5)*'Income Statement'!AA38</f>
        <v>2510944.2553305025</v>
      </c>
      <c r="AC38" s="81">
        <f>('2) Assumptions'!$F$10/30.5)*'Income Statement'!AB38</f>
        <v>2699265.0744802896</v>
      </c>
      <c r="AD38" s="81">
        <f>('2) Assumptions'!$F$10/30.5)*'Income Statement'!AC38</f>
        <v>2901709.9550663116</v>
      </c>
      <c r="AE38" s="81">
        <f>('2) Assumptions'!$F$10/30.5)*'Income Statement'!AD38</f>
        <v>3119338.201696285</v>
      </c>
      <c r="AF38" s="81">
        <f>('2) Assumptions'!$F$10/30.5)*'Income Statement'!AE38</f>
        <v>3353288.5668235063</v>
      </c>
      <c r="AG38" s="81">
        <f>('2) Assumptions'!$F$10/30.5)*'Income Statement'!AF38</f>
        <v>3604785.2093352689</v>
      </c>
      <c r="AH38" s="81">
        <f>('2) Assumptions'!$F$10/30.5)*'Income Statement'!AG38</f>
        <v>3875144.1000354146</v>
      </c>
      <c r="AI38" s="81">
        <f>('2) Assumptions'!$F$10/30.5)*'Income Statement'!AH38</f>
        <v>4165779.9075380694</v>
      </c>
      <c r="AJ38" s="81">
        <f>('2) Assumptions'!$F$10/30.5)*'Income Statement'!AI38</f>
        <v>4478213.4006034257</v>
      </c>
      <c r="AK38" s="81">
        <f>('2) Assumptions'!$F$10/30.5)*'Income Statement'!AJ38</f>
        <v>4814079.4056486813</v>
      </c>
      <c r="AL38" s="81">
        <f>('2) Assumptions'!$F$10/30.5)*'Income Statement'!AK38</f>
        <v>5175135.3610723326</v>
      </c>
      <c r="AM38" s="81">
        <f>('2) Assumptions'!$F$10/30.5)*'Income Statement'!AL38</f>
        <v>5563270.5131527577</v>
      </c>
      <c r="AN38" s="81">
        <f>('2) Assumptions'!$G$10/30.5)*'Income Statement'!AM38</f>
        <v>5980515.8016392132</v>
      </c>
      <c r="AO38" s="81">
        <f>('2) Assumptions'!$G$10/30.5)*'Income Statement'!AN38</f>
        <v>6429054.4867621539</v>
      </c>
      <c r="AP38" s="81">
        <f>('2) Assumptions'!$G$10/30.5)*'Income Statement'!AO38</f>
        <v>6911233.573269316</v>
      </c>
      <c r="AQ38" s="81">
        <f>('2) Assumptions'!$G$10/30.5)*'Income Statement'!AP38</f>
        <v>7429576.0912645143</v>
      </c>
      <c r="AR38" s="81">
        <f>('2) Assumptions'!$G$10/30.5)*'Income Statement'!AQ38</f>
        <v>7986794.2981093517</v>
      </c>
      <c r="AS38" s="81">
        <f>('2) Assumptions'!$G$10/30.5)*'Income Statement'!AR38</f>
        <v>8585803.8704675529</v>
      </c>
      <c r="AT38" s="81">
        <f>('2) Assumptions'!$G$10/30.5)*'Income Statement'!AS38</f>
        <v>9229739.1607526205</v>
      </c>
      <c r="AU38" s="81">
        <f>('2) Assumptions'!$G$10/30.5)*'Income Statement'!AT38</f>
        <v>9921969.5978090651</v>
      </c>
      <c r="AV38" s="81">
        <f>('2) Assumptions'!$G$10/30.5)*'Income Statement'!AU38</f>
        <v>10666117.317644747</v>
      </c>
      <c r="AW38" s="81">
        <f>('2) Assumptions'!$G$10/30.5)*'Income Statement'!AV38</f>
        <v>11466076.1164681</v>
      </c>
      <c r="AX38" s="81">
        <f>('2) Assumptions'!$G$10/30.5)*'Income Statement'!AW38</f>
        <v>12326031.825203208</v>
      </c>
      <c r="AY38" s="81">
        <f>('2) Assumptions'!$G$10/30.5)*'Income Statement'!AX38</f>
        <v>13250484.212093448</v>
      </c>
      <c r="AZ38" s="81">
        <f>('2) Assumptions'!$H$10/30.5)*'Income Statement'!AY38</f>
        <v>14244270.528000459</v>
      </c>
      <c r="BA38" s="81">
        <f>('2) Assumptions'!$H$10/30.5)*'Income Statement'!AZ38</f>
        <v>15312590.817600489</v>
      </c>
      <c r="BB38" s="81">
        <f>('2) Assumptions'!$H$10/30.5)*'Income Statement'!BA38</f>
        <v>16461035.128920525</v>
      </c>
      <c r="BC38" s="81">
        <f>('2) Assumptions'!$H$10/30.5)*'Income Statement'!BB38</f>
        <v>17695612.763589568</v>
      </c>
      <c r="BD38" s="81">
        <f>('2) Assumptions'!$H$10/30.5)*'Income Statement'!BC38</f>
        <v>19022783.720858783</v>
      </c>
      <c r="BE38" s="81">
        <f>('2) Assumptions'!$H$10/30.5)*'Income Statement'!BD38</f>
        <v>20449492.499923192</v>
      </c>
      <c r="BF38" s="81">
        <f>('2) Assumptions'!$H$10/30.5)*'Income Statement'!BE38</f>
        <v>21983204.437417429</v>
      </c>
      <c r="BG38" s="81">
        <f>('2) Assumptions'!$H$10/30.5)*'Income Statement'!BF38</f>
        <v>23631944.770223733</v>
      </c>
      <c r="BH38" s="81">
        <f>('2) Assumptions'!$H$10/30.5)*'Income Statement'!BG38</f>
        <v>25404340.62799051</v>
      </c>
      <c r="BI38" s="81">
        <f>('2) Assumptions'!$H$10/30.5)*'Income Statement'!BH38</f>
        <v>27309666.175089799</v>
      </c>
      <c r="BJ38" s="81">
        <f>('2) Assumptions'!$H$10/30.5)*'Income Statement'!BI38</f>
        <v>29357891.138221536</v>
      </c>
      <c r="BK38" s="81">
        <f>('2) Assumptions'!$H$10/30.5)*'Income Statement'!BJ38</f>
        <v>31559732.973588146</v>
      </c>
    </row>
    <row r="39" spans="1:69" s="215" customFormat="1" ht="14" customHeight="1">
      <c r="A39" s="70"/>
      <c r="B39" s="70" t="s">
        <v>4</v>
      </c>
      <c r="C39" s="81">
        <f>'8) Opening Balance Sheet'!C9</f>
        <v>0</v>
      </c>
      <c r="D39" s="81">
        <f>('2) Assumptions'!$D$12/30.5)*'Income Statement'!C39</f>
        <v>22131.147540983606</v>
      </c>
      <c r="E39" s="81">
        <f>('2) Assumptions'!$D$12/30.5)*'Income Statement'!D39</f>
        <v>23790.983606557376</v>
      </c>
      <c r="F39" s="81">
        <f>('2) Assumptions'!$D$12/30.5)*'Income Statement'!E39</f>
        <v>25575.307377049179</v>
      </c>
      <c r="G39" s="81">
        <f>('2) Assumptions'!$D$12/30.5)*'Income Statement'!F39</f>
        <v>27493.455430327867</v>
      </c>
      <c r="H39" s="81">
        <f>('2) Assumptions'!$D$12/30.5)*'Income Statement'!G39</f>
        <v>29555.464587602459</v>
      </c>
      <c r="I39" s="81">
        <f>('2) Assumptions'!$D$12/30.5)*'Income Statement'!H39</f>
        <v>31772.124431672641</v>
      </c>
      <c r="J39" s="81">
        <f>('2) Assumptions'!$D$12/30.5)*'Income Statement'!I39</f>
        <v>34155.033764048087</v>
      </c>
      <c r="K39" s="81">
        <f>('2) Assumptions'!$D$12/30.5)*'Income Statement'!J39</f>
        <v>36716.661296351696</v>
      </c>
      <c r="L39" s="81">
        <f>('2) Assumptions'!$D$12/30.5)*'Income Statement'!K39</f>
        <v>39470.410893578068</v>
      </c>
      <c r="M39" s="81">
        <f>('2) Assumptions'!$D$12/30.5)*'Income Statement'!L39</f>
        <v>42430.691710596417</v>
      </c>
      <c r="N39" s="81">
        <f>('2) Assumptions'!$D$12/30.5)*'Income Statement'!M39</f>
        <v>45612.99358889115</v>
      </c>
      <c r="O39" s="81">
        <f>('2) Assumptions'!$D$12/30.5)*'Income Statement'!N39</f>
        <v>49033.968108057983</v>
      </c>
      <c r="P39" s="81">
        <f>('2) Assumptions'!$E$12/30.5)*'Income Statement'!O39</f>
        <v>52711.515716162336</v>
      </c>
      <c r="Q39" s="81">
        <f>('2) Assumptions'!$E$12/30.5)*'Income Statement'!P39</f>
        <v>56664.879394874508</v>
      </c>
      <c r="R39" s="81">
        <f>('2) Assumptions'!$E$12/30.5)*'Income Statement'!Q39</f>
        <v>60914.745349490091</v>
      </c>
      <c r="S39" s="81">
        <f>('2) Assumptions'!$E$12/30.5)*'Income Statement'!R39</f>
        <v>65483.351250701846</v>
      </c>
      <c r="T39" s="81">
        <f>('2) Assumptions'!$E$12/30.5)*'Income Statement'!S39</f>
        <v>70394.602594504468</v>
      </c>
      <c r="U39" s="81">
        <f>('2) Assumptions'!$E$12/30.5)*'Income Statement'!T39</f>
        <v>75674.197789092315</v>
      </c>
      <c r="V39" s="81">
        <f>('2) Assumptions'!$E$12/30.5)*'Income Statement'!U39</f>
        <v>81349.762623274248</v>
      </c>
      <c r="W39" s="81">
        <f>('2) Assumptions'!$E$12/30.5)*'Income Statement'!V39</f>
        <v>87450.994820019783</v>
      </c>
      <c r="X39" s="81">
        <f>('2) Assumptions'!$E$12/30.5)*'Income Statement'!W39</f>
        <v>94009.819431521275</v>
      </c>
      <c r="Y39" s="81">
        <f>('2) Assumptions'!$E$12/30.5)*'Income Statement'!X39</f>
        <v>101060.55588888537</v>
      </c>
      <c r="Z39" s="81">
        <f>('2) Assumptions'!$E$12/30.5)*'Income Statement'!Y39</f>
        <v>108640.09758055178</v>
      </c>
      <c r="AA39" s="81">
        <f>('2) Assumptions'!$E$12/30.5)*'Income Statement'!Z39</f>
        <v>116788.10489909314</v>
      </c>
      <c r="AB39" s="81">
        <f>('2) Assumptions'!$F$12/30.5)*'Income Statement'!AA39</f>
        <v>125547.21276652515</v>
      </c>
      <c r="AC39" s="81">
        <f>('2) Assumptions'!$F$12/30.5)*'Income Statement'!AB39</f>
        <v>134963.2537240145</v>
      </c>
      <c r="AD39" s="81">
        <f>('2) Assumptions'!$F$12/30.5)*'Income Statement'!AC39</f>
        <v>145085.49775331561</v>
      </c>
      <c r="AE39" s="81">
        <f>('2) Assumptions'!$F$12/30.5)*'Income Statement'!AD39</f>
        <v>155966.91008481427</v>
      </c>
      <c r="AF39" s="81">
        <f>('2) Assumptions'!$F$12/30.5)*'Income Statement'!AE39</f>
        <v>167664.42834117531</v>
      </c>
      <c r="AG39" s="81">
        <f>('2) Assumptions'!$F$12/30.5)*'Income Statement'!AF39</f>
        <v>180239.26046676346</v>
      </c>
      <c r="AH39" s="81">
        <f>('2) Assumptions'!$F$12/30.5)*'Income Statement'!AG39</f>
        <v>193757.20500177072</v>
      </c>
      <c r="AI39" s="81">
        <f>('2) Assumptions'!$F$12/30.5)*'Income Statement'!AH39</f>
        <v>208288.99537690351</v>
      </c>
      <c r="AJ39" s="81">
        <f>('2) Assumptions'!$F$12/30.5)*'Income Statement'!AI39</f>
        <v>223910.67003017126</v>
      </c>
      <c r="AK39" s="81">
        <f>('2) Assumptions'!$F$12/30.5)*'Income Statement'!AJ39</f>
        <v>240703.97028243411</v>
      </c>
      <c r="AL39" s="81">
        <f>('2) Assumptions'!$F$12/30.5)*'Income Statement'!AK39</f>
        <v>258756.76805361663</v>
      </c>
      <c r="AM39" s="81">
        <f>('2) Assumptions'!$F$12/30.5)*'Income Statement'!AL39</f>
        <v>278163.52565763786</v>
      </c>
      <c r="AN39" s="81">
        <f>('2) Assumptions'!$G$12/30.5)*'Income Statement'!AM39</f>
        <v>299025.79008196067</v>
      </c>
      <c r="AO39" s="81">
        <f>('2) Assumptions'!$G$12/30.5)*'Income Statement'!AN39</f>
        <v>321452.72433810774</v>
      </c>
      <c r="AP39" s="81">
        <f>('2) Assumptions'!$G$12/30.5)*'Income Statement'!AO39</f>
        <v>345561.67866346583</v>
      </c>
      <c r="AQ39" s="81">
        <f>('2) Assumptions'!$G$12/30.5)*'Income Statement'!AP39</f>
        <v>371478.80456322577</v>
      </c>
      <c r="AR39" s="81">
        <f>('2) Assumptions'!$G$12/30.5)*'Income Statement'!AQ39</f>
        <v>399339.71490546764</v>
      </c>
      <c r="AS39" s="81">
        <f>('2) Assumptions'!$G$12/30.5)*'Income Statement'!AR39</f>
        <v>429290.1935233777</v>
      </c>
      <c r="AT39" s="81">
        <f>('2) Assumptions'!$G$12/30.5)*'Income Statement'!AS39</f>
        <v>461486.95803763106</v>
      </c>
      <c r="AU39" s="81">
        <f>('2) Assumptions'!$G$12/30.5)*'Income Statement'!AT39</f>
        <v>496098.47989045334</v>
      </c>
      <c r="AV39" s="81">
        <f>('2) Assumptions'!$G$12/30.5)*'Income Statement'!AU39</f>
        <v>533305.86588223733</v>
      </c>
      <c r="AW39" s="81">
        <f>('2) Assumptions'!$G$12/30.5)*'Income Statement'!AV39</f>
        <v>573303.80582340516</v>
      </c>
      <c r="AX39" s="81">
        <f>('2) Assumptions'!$G$12/30.5)*'Income Statement'!AW39</f>
        <v>616301.59126016044</v>
      </c>
      <c r="AY39" s="81">
        <f>('2) Assumptions'!$G$12/30.5)*'Income Statement'!AX39</f>
        <v>662524.21060467244</v>
      </c>
      <c r="AZ39" s="81">
        <f>('2) Assumptions'!$H$12/30.5)*'Income Statement'!AY39</f>
        <v>712213.52640002291</v>
      </c>
      <c r="BA39" s="81">
        <f>('2) Assumptions'!$H$12/30.5)*'Income Statement'!AZ39</f>
        <v>765629.54088002467</v>
      </c>
      <c r="BB39" s="81">
        <f>('2) Assumptions'!$H$12/30.5)*'Income Statement'!BA39</f>
        <v>823051.75644602638</v>
      </c>
      <c r="BC39" s="81">
        <f>('2) Assumptions'!$H$12/30.5)*'Income Statement'!BB39</f>
        <v>884780.63817947824</v>
      </c>
      <c r="BD39" s="81">
        <f>('2) Assumptions'!$H$12/30.5)*'Income Statement'!BC39</f>
        <v>951139.1860429392</v>
      </c>
      <c r="BE39" s="81">
        <f>('2) Assumptions'!$H$12/30.5)*'Income Statement'!BD39</f>
        <v>1022474.6249961596</v>
      </c>
      <c r="BF39" s="81">
        <f>('2) Assumptions'!$H$12/30.5)*'Income Statement'!BE39</f>
        <v>1099160.2218708715</v>
      </c>
      <c r="BG39" s="81">
        <f>('2) Assumptions'!$H$12/30.5)*'Income Statement'!BF39</f>
        <v>1181597.2385111868</v>
      </c>
      <c r="BH39" s="81">
        <f>('2) Assumptions'!$H$12/30.5)*'Income Statement'!BG39</f>
        <v>1270217.0313995257</v>
      </c>
      <c r="BI39" s="81">
        <f>('2) Assumptions'!$H$12/30.5)*'Income Statement'!BH39</f>
        <v>1365483.3087544902</v>
      </c>
      <c r="BJ39" s="81">
        <f>('2) Assumptions'!$H$12/30.5)*'Income Statement'!BI39</f>
        <v>1467894.5569110769</v>
      </c>
      <c r="BK39" s="81">
        <f>('2) Assumptions'!$H$12/30.5)*'Income Statement'!BJ39</f>
        <v>1577986.6486794075</v>
      </c>
    </row>
    <row r="40" spans="1:69" s="215" customFormat="1" ht="14" customHeight="1">
      <c r="A40" s="70"/>
      <c r="B40" s="70" t="s">
        <v>91</v>
      </c>
      <c r="C40" s="81">
        <f>'8) Opening Balance Sheet'!C10</f>
        <v>0</v>
      </c>
      <c r="D40" s="81">
        <f>'2) Assumptions'!$D$8*'Income Statement'!C38</f>
        <v>22500</v>
      </c>
      <c r="E40" s="81">
        <f>'2) Assumptions'!$D$8*'Income Statement'!D38</f>
        <v>24187.5</v>
      </c>
      <c r="F40" s="81">
        <f>'2) Assumptions'!$D$8*'Income Statement'!E38</f>
        <v>26001.5625</v>
      </c>
      <c r="G40" s="81">
        <f>'2) Assumptions'!$D$8*'Income Statement'!F38</f>
        <v>27951.6796875</v>
      </c>
      <c r="H40" s="81">
        <f>'2) Assumptions'!$D$8*'Income Statement'!G38</f>
        <v>30048.0556640625</v>
      </c>
      <c r="I40" s="81">
        <f>'2) Assumptions'!$D$8*'Income Statement'!H38</f>
        <v>32301.659838867188</v>
      </c>
      <c r="J40" s="81">
        <f>'2) Assumptions'!$D$8*'Income Statement'!I38</f>
        <v>34724.284326782232</v>
      </c>
      <c r="K40" s="81">
        <f>'2) Assumptions'!$D$8*'Income Statement'!J38</f>
        <v>37328.605651290891</v>
      </c>
      <c r="L40" s="81">
        <f>'2) Assumptions'!$D$8*'Income Statement'!K38</f>
        <v>40128.251075137698</v>
      </c>
      <c r="M40" s="81">
        <f>'2) Assumptions'!$D$8*'Income Statement'!L38</f>
        <v>43137.869905773026</v>
      </c>
      <c r="N40" s="81">
        <f>'2) Assumptions'!$D$8*'Income Statement'!M38</f>
        <v>46373.210148706006</v>
      </c>
      <c r="O40" s="81">
        <f>'2) Assumptions'!$D$8*'Income Statement'!N38</f>
        <v>49851.200909858955</v>
      </c>
      <c r="P40" s="81">
        <f>'2) Assumptions'!$E$8*'Income Statement'!O38</f>
        <v>53590.040978098375</v>
      </c>
      <c r="Q40" s="81">
        <f>'2) Assumptions'!$E$8*'Income Statement'!P38</f>
        <v>57609.294051455741</v>
      </c>
      <c r="R40" s="81">
        <f>'2) Assumptions'!$E$8*'Income Statement'!Q38</f>
        <v>61929.991105314919</v>
      </c>
      <c r="S40" s="81">
        <f>'2) Assumptions'!$E$8*'Income Statement'!R38</f>
        <v>66574.740438213557</v>
      </c>
      <c r="T40" s="81">
        <f>'2) Assumptions'!$E$8*'Income Statement'!S38</f>
        <v>71567.845971079558</v>
      </c>
      <c r="U40" s="81">
        <f>'2) Assumptions'!$E$8*'Income Statement'!T38</f>
        <v>76935.434418910518</v>
      </c>
      <c r="V40" s="81">
        <f>'2) Assumptions'!$E$8*'Income Statement'!U38</f>
        <v>82705.592000328819</v>
      </c>
      <c r="W40" s="81">
        <f>'2) Assumptions'!$E$8*'Income Statement'!V38</f>
        <v>88908.511400353455</v>
      </c>
      <c r="X40" s="81">
        <f>'2) Assumptions'!$E$8*'Income Statement'!W38</f>
        <v>95576.649755379956</v>
      </c>
      <c r="Y40" s="81">
        <f>'2) Assumptions'!$E$8*'Income Statement'!X38</f>
        <v>102744.89848703347</v>
      </c>
      <c r="Z40" s="81">
        <f>'2) Assumptions'!$E$8*'Income Statement'!Y38</f>
        <v>110450.76587356097</v>
      </c>
      <c r="AA40" s="81">
        <f>'2) Assumptions'!$E$8*'Income Statement'!Z38</f>
        <v>118734.57331407804</v>
      </c>
      <c r="AB40" s="81">
        <f>'2) Assumptions'!$F$8*'Income Statement'!AA38</f>
        <v>127639.66631263388</v>
      </c>
      <c r="AC40" s="81">
        <f>'2) Assumptions'!$F$8*'Income Statement'!AB38</f>
        <v>137212.6412860814</v>
      </c>
      <c r="AD40" s="81">
        <f>'2) Assumptions'!$F$8*'Income Statement'!AC38</f>
        <v>147503.5893825375</v>
      </c>
      <c r="AE40" s="81">
        <f>'2) Assumptions'!$F$8*'Income Statement'!AD38</f>
        <v>158566.35858622784</v>
      </c>
      <c r="AF40" s="81">
        <f>'2) Assumptions'!$F$8*'Income Statement'!AE38</f>
        <v>170458.83548019492</v>
      </c>
      <c r="AG40" s="81">
        <f>'2) Assumptions'!$F$8*'Income Statement'!AF38</f>
        <v>183243.24814120951</v>
      </c>
      <c r="AH40" s="81">
        <f>'2) Assumptions'!$F$8*'Income Statement'!AG38</f>
        <v>196986.49175180026</v>
      </c>
      <c r="AI40" s="81">
        <f>'2) Assumptions'!$F$8*'Income Statement'!AH38</f>
        <v>211760.47863318521</v>
      </c>
      <c r="AJ40" s="81">
        <f>'2) Assumptions'!$F$8*'Income Statement'!AI38</f>
        <v>227642.51453067415</v>
      </c>
      <c r="AK40" s="81">
        <f>'2) Assumptions'!$F$8*'Income Statement'!AJ38</f>
        <v>244715.70312047467</v>
      </c>
      <c r="AL40" s="81">
        <f>'2) Assumptions'!$F$8*'Income Statement'!AK38</f>
        <v>263069.38085451024</v>
      </c>
      <c r="AM40" s="81">
        <f>'2) Assumptions'!$F$8*'Income Statement'!AL38</f>
        <v>282799.5844185985</v>
      </c>
      <c r="AN40" s="81">
        <f>'2) Assumptions'!$G$8*'Income Statement'!AM38</f>
        <v>304009.55324999336</v>
      </c>
      <c r="AO40" s="81">
        <f>'2) Assumptions'!$G$8*'Income Statement'!AN38</f>
        <v>326810.26974374289</v>
      </c>
      <c r="AP40" s="81">
        <f>'2) Assumptions'!$G$8*'Income Statement'!AO38</f>
        <v>351321.03997452359</v>
      </c>
      <c r="AQ40" s="81">
        <f>'2) Assumptions'!$G$8*'Income Statement'!AP38</f>
        <v>377670.11797261285</v>
      </c>
      <c r="AR40" s="81">
        <f>'2) Assumptions'!$G$8*'Income Statement'!AQ38</f>
        <v>405995.37682055874</v>
      </c>
      <c r="AS40" s="81">
        <f>'2) Assumptions'!$G$8*'Income Statement'!AR38</f>
        <v>436445.03008210065</v>
      </c>
      <c r="AT40" s="81">
        <f>'2) Assumptions'!$G$8*'Income Statement'!AS38</f>
        <v>469178.40733825829</v>
      </c>
      <c r="AU40" s="81">
        <f>'2) Assumptions'!$G$8*'Income Statement'!AT38</f>
        <v>504366.7878886275</v>
      </c>
      <c r="AV40" s="81">
        <f>'2) Assumptions'!$G$8*'Income Statement'!AU38</f>
        <v>542194.29698027472</v>
      </c>
      <c r="AW40" s="81">
        <f>'2) Assumptions'!$G$8*'Income Statement'!AV38</f>
        <v>582858.86925379513</v>
      </c>
      <c r="AX40" s="81">
        <f>'2) Assumptions'!$G$8*'Income Statement'!AW38</f>
        <v>626573.28444782982</v>
      </c>
      <c r="AY40" s="81">
        <f>'2) Assumptions'!$G$8*'Income Statement'!AX38</f>
        <v>673566.28078141704</v>
      </c>
      <c r="AZ40" s="81">
        <f>'2) Assumptions'!$H$8*'Income Statement'!AY38</f>
        <v>724083.75184002332</v>
      </c>
      <c r="BA40" s="81">
        <f>'2) Assumptions'!$H$8*'Income Statement'!AZ38</f>
        <v>778390.03322802484</v>
      </c>
      <c r="BB40" s="81">
        <f>'2) Assumptions'!$H$8*'Income Statement'!BA38</f>
        <v>836769.2857201267</v>
      </c>
      <c r="BC40" s="81">
        <f>'2) Assumptions'!$H$8*'Income Statement'!BB38</f>
        <v>899526.98214913649</v>
      </c>
      <c r="BD40" s="81">
        <f>'2) Assumptions'!$H$8*'Income Statement'!BC38</f>
        <v>966991.50581032154</v>
      </c>
      <c r="BE40" s="81">
        <f>'2) Assumptions'!$H$8*'Income Statement'!BD38</f>
        <v>1039515.8687460956</v>
      </c>
      <c r="BF40" s="81">
        <f>'2) Assumptions'!$H$8*'Income Statement'!BE38</f>
        <v>1117479.5589020527</v>
      </c>
      <c r="BG40" s="81">
        <f>'2) Assumptions'!$H$8*'Income Statement'!BF38</f>
        <v>1201290.5258197065</v>
      </c>
      <c r="BH40" s="81">
        <f>'2) Assumptions'!$H$8*'Income Statement'!BG38</f>
        <v>1291387.3152561844</v>
      </c>
      <c r="BI40" s="81">
        <f>'2) Assumptions'!$H$8*'Income Statement'!BH38</f>
        <v>1388241.3639003981</v>
      </c>
      <c r="BJ40" s="81">
        <f>'2) Assumptions'!$H$8*'Income Statement'!BI38</f>
        <v>1492359.4661929281</v>
      </c>
      <c r="BK40" s="81">
        <f>'2) Assumptions'!$H$8*'Income Statement'!BJ38</f>
        <v>1604286.4261573975</v>
      </c>
    </row>
    <row r="41" spans="1:69" s="215" customFormat="1" ht="14" customHeight="1">
      <c r="A41" s="70" t="s">
        <v>35</v>
      </c>
      <c r="B41" s="7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</row>
    <row r="42" spans="1:69" s="215" customFormat="1" ht="14" customHeight="1">
      <c r="A42" s="70"/>
      <c r="B42" s="192" t="str">
        <f>'5) Amortization of PPE'!C5&amp;", net"</f>
        <v>PPE, net</v>
      </c>
      <c r="C42" s="81">
        <f>'8) Opening Balance Sheet'!C12</f>
        <v>0</v>
      </c>
      <c r="D42" s="81">
        <f>'5) Amortization of PPE'!F9</f>
        <v>24770833.333333332</v>
      </c>
      <c r="E42" s="81">
        <f>'5) Amortization of PPE'!G9</f>
        <v>24541666.666666668</v>
      </c>
      <c r="F42" s="81">
        <f>'5) Amortization of PPE'!H9</f>
        <v>24312500</v>
      </c>
      <c r="G42" s="81">
        <f>'5) Amortization of PPE'!I9</f>
        <v>24083333.333333332</v>
      </c>
      <c r="H42" s="81">
        <f>'5) Amortization of PPE'!J9</f>
        <v>23854166.666666668</v>
      </c>
      <c r="I42" s="81">
        <f>'5) Amortization of PPE'!K9</f>
        <v>23625000</v>
      </c>
      <c r="J42" s="81">
        <f>'5) Amortization of PPE'!L9</f>
        <v>23395833.333333332</v>
      </c>
      <c r="K42" s="81">
        <f>'5) Amortization of PPE'!M9</f>
        <v>23166666.666666668</v>
      </c>
      <c r="L42" s="81">
        <f>'5) Amortization of PPE'!N9</f>
        <v>22937500</v>
      </c>
      <c r="M42" s="81">
        <f>'5) Amortization of PPE'!O9</f>
        <v>22708333.333333332</v>
      </c>
      <c r="N42" s="81">
        <f>'5) Amortization of PPE'!P9</f>
        <v>22479166.666666668</v>
      </c>
      <c r="O42" s="81">
        <f>'5) Amortization of PPE'!Q9</f>
        <v>22250000</v>
      </c>
      <c r="P42" s="81">
        <f>'5) Amortization of PPE'!R9</f>
        <v>22020833.333333332</v>
      </c>
      <c r="Q42" s="81">
        <f>'5) Amortization of PPE'!S9</f>
        <v>21791666.666666668</v>
      </c>
      <c r="R42" s="81">
        <f>'5) Amortization of PPE'!T9</f>
        <v>21562500</v>
      </c>
      <c r="S42" s="81">
        <f>'5) Amortization of PPE'!U9</f>
        <v>21333333.333333336</v>
      </c>
      <c r="T42" s="81">
        <f>'5) Amortization of PPE'!V9</f>
        <v>21104166.666666668</v>
      </c>
      <c r="U42" s="81">
        <f>'5) Amortization of PPE'!W9</f>
        <v>20875000</v>
      </c>
      <c r="V42" s="81">
        <f>'5) Amortization of PPE'!X9</f>
        <v>20645833.333333336</v>
      </c>
      <c r="W42" s="81">
        <f>'5) Amortization of PPE'!Y9</f>
        <v>20416666.666666668</v>
      </c>
      <c r="X42" s="81">
        <f>'5) Amortization of PPE'!Z9</f>
        <v>20187500</v>
      </c>
      <c r="Y42" s="81">
        <f>'5) Amortization of PPE'!AA9</f>
        <v>19958333.333333332</v>
      </c>
      <c r="Z42" s="81">
        <f>'5) Amortization of PPE'!AB9</f>
        <v>19729166.666666664</v>
      </c>
      <c r="AA42" s="81">
        <f>'5) Amortization of PPE'!AC9</f>
        <v>19500000</v>
      </c>
      <c r="AB42" s="81">
        <f>'5) Amortization of PPE'!AD9</f>
        <v>19270833.333333332</v>
      </c>
      <c r="AC42" s="81">
        <f>'5) Amortization of PPE'!AE9</f>
        <v>19041666.666666664</v>
      </c>
      <c r="AD42" s="81">
        <f>'5) Amortization of PPE'!AF9</f>
        <v>18812500</v>
      </c>
      <c r="AE42" s="81">
        <f>'5) Amortization of PPE'!AG9</f>
        <v>18583333.333333332</v>
      </c>
      <c r="AF42" s="81">
        <f>'5) Amortization of PPE'!AH9</f>
        <v>18354166.666666664</v>
      </c>
      <c r="AG42" s="81">
        <f>'5) Amortization of PPE'!AI9</f>
        <v>18124999.999999996</v>
      </c>
      <c r="AH42" s="81">
        <f>'5) Amortization of PPE'!AJ9</f>
        <v>17895833.333333328</v>
      </c>
      <c r="AI42" s="81">
        <f>'5) Amortization of PPE'!AK9</f>
        <v>17666666.666666664</v>
      </c>
      <c r="AJ42" s="81">
        <f>'5) Amortization of PPE'!AL9</f>
        <v>17437499.999999996</v>
      </c>
      <c r="AK42" s="81">
        <f>'5) Amortization of PPE'!AM9</f>
        <v>17208333.333333328</v>
      </c>
      <c r="AL42" s="81">
        <f>'5) Amortization of PPE'!AN9</f>
        <v>16979166.666666664</v>
      </c>
      <c r="AM42" s="81">
        <f>'5) Amortization of PPE'!AO9</f>
        <v>16749999.999999996</v>
      </c>
      <c r="AN42" s="81">
        <f>'5) Amortization of PPE'!AP9</f>
        <v>16520833.333333328</v>
      </c>
      <c r="AO42" s="81">
        <f>'5) Amortization of PPE'!AQ9</f>
        <v>16291666.666666662</v>
      </c>
      <c r="AP42" s="81">
        <f>'5) Amortization of PPE'!AR9</f>
        <v>16062499.999999996</v>
      </c>
      <c r="AQ42" s="81">
        <f>'5) Amortization of PPE'!AS9</f>
        <v>15833333.33333333</v>
      </c>
      <c r="AR42" s="81">
        <f>'5) Amortization of PPE'!AT9</f>
        <v>15604166.666666664</v>
      </c>
      <c r="AS42" s="81">
        <f>'5) Amortization of PPE'!AU9</f>
        <v>15374999.999999998</v>
      </c>
      <c r="AT42" s="81">
        <f>'5) Amortization of PPE'!AV9</f>
        <v>15145833.333333332</v>
      </c>
      <c r="AU42" s="81">
        <f>'5) Amortization of PPE'!AW9</f>
        <v>14916666.666666666</v>
      </c>
      <c r="AV42" s="81">
        <f>'5) Amortization of PPE'!AX9</f>
        <v>14687500</v>
      </c>
      <c r="AW42" s="81">
        <f>'5) Amortization of PPE'!AY9</f>
        <v>14458333.333333334</v>
      </c>
      <c r="AX42" s="81">
        <f>'5) Amortization of PPE'!AZ9</f>
        <v>14229166.666666668</v>
      </c>
      <c r="AY42" s="81">
        <f>'5) Amortization of PPE'!BA9</f>
        <v>14000000.000000002</v>
      </c>
      <c r="AZ42" s="81">
        <f>'5) Amortization of PPE'!BB9</f>
        <v>13770833.333333336</v>
      </c>
      <c r="BA42" s="81">
        <f>'5) Amortization of PPE'!BC9</f>
        <v>13541666.66666667</v>
      </c>
      <c r="BB42" s="81">
        <f>'5) Amortization of PPE'!BD9</f>
        <v>13312500.000000004</v>
      </c>
      <c r="BC42" s="81">
        <f>'5) Amortization of PPE'!BE9</f>
        <v>13083333.333333338</v>
      </c>
      <c r="BD42" s="81">
        <f>'5) Amortization of PPE'!BF9</f>
        <v>12854166.666666672</v>
      </c>
      <c r="BE42" s="81">
        <f>'5) Amortization of PPE'!BG9</f>
        <v>12625000.000000006</v>
      </c>
      <c r="BF42" s="81">
        <f>'5) Amortization of PPE'!BH9</f>
        <v>12395833.33333334</v>
      </c>
      <c r="BG42" s="81">
        <f>'5) Amortization of PPE'!BI9</f>
        <v>12166666.666666673</v>
      </c>
      <c r="BH42" s="81">
        <f>'5) Amortization of PPE'!BJ9</f>
        <v>11937500.000000007</v>
      </c>
      <c r="BI42" s="81">
        <f>'5) Amortization of PPE'!BK9</f>
        <v>11708333.333333341</v>
      </c>
      <c r="BJ42" s="81">
        <f>'5) Amortization of PPE'!BL9</f>
        <v>11479166.666666675</v>
      </c>
      <c r="BK42" s="81">
        <f>'5) Amortization of PPE'!BM9</f>
        <v>11250000.000000009</v>
      </c>
    </row>
    <row r="43" spans="1:69" s="215" customFormat="1" ht="14" customHeight="1">
      <c r="A43" s="70"/>
      <c r="B43" s="192" t="str">
        <f>'5) Amortization of PPE'!C23</f>
        <v>Land</v>
      </c>
      <c r="C43" s="81">
        <f>'8) Opening Balance Sheet'!C13</f>
        <v>0</v>
      </c>
      <c r="D43" s="81">
        <f>'5) Amortization of PPE'!F26</f>
        <v>0</v>
      </c>
      <c r="E43" s="81">
        <f>'5) Amortization of PPE'!G26</f>
        <v>0</v>
      </c>
      <c r="F43" s="81">
        <f>'5) Amortization of PPE'!H26</f>
        <v>0</v>
      </c>
      <c r="G43" s="81">
        <f>'5) Amortization of PPE'!I26</f>
        <v>0</v>
      </c>
      <c r="H43" s="81">
        <f>'5) Amortization of PPE'!J26</f>
        <v>0</v>
      </c>
      <c r="I43" s="81">
        <f>'5) Amortization of PPE'!K26</f>
        <v>0</v>
      </c>
      <c r="J43" s="81">
        <f>'5) Amortization of PPE'!L26</f>
        <v>0</v>
      </c>
      <c r="K43" s="81">
        <f>'5) Amortization of PPE'!M26</f>
        <v>0</v>
      </c>
      <c r="L43" s="81">
        <f>'5) Amortization of PPE'!N26</f>
        <v>0</v>
      </c>
      <c r="M43" s="81">
        <f>'5) Amortization of PPE'!O26</f>
        <v>0</v>
      </c>
      <c r="N43" s="81">
        <f>'5) Amortization of PPE'!P26</f>
        <v>0</v>
      </c>
      <c r="O43" s="81">
        <f>'5) Amortization of PPE'!Q26</f>
        <v>0</v>
      </c>
      <c r="P43" s="81">
        <f>'5) Amortization of PPE'!R26</f>
        <v>0</v>
      </c>
      <c r="Q43" s="81">
        <f>'5) Amortization of PPE'!S26</f>
        <v>0</v>
      </c>
      <c r="R43" s="81">
        <f>'5) Amortization of PPE'!T26</f>
        <v>0</v>
      </c>
      <c r="S43" s="81">
        <f>'5) Amortization of PPE'!U26</f>
        <v>0</v>
      </c>
      <c r="T43" s="81">
        <f>'5) Amortization of PPE'!V26</f>
        <v>0</v>
      </c>
      <c r="U43" s="81">
        <f>'5) Amortization of PPE'!W26</f>
        <v>0</v>
      </c>
      <c r="V43" s="81">
        <f>'5) Amortization of PPE'!X26</f>
        <v>0</v>
      </c>
      <c r="W43" s="81">
        <f>'5) Amortization of PPE'!Y26</f>
        <v>0</v>
      </c>
      <c r="X43" s="81">
        <f>'5) Amortization of PPE'!Z26</f>
        <v>0</v>
      </c>
      <c r="Y43" s="81">
        <f>'5) Amortization of PPE'!AA26</f>
        <v>0</v>
      </c>
      <c r="Z43" s="81">
        <f>'5) Amortization of PPE'!AB26</f>
        <v>0</v>
      </c>
      <c r="AA43" s="81">
        <f>'5) Amortization of PPE'!AC26</f>
        <v>0</v>
      </c>
      <c r="AB43" s="81">
        <f>'5) Amortization of PPE'!AD26</f>
        <v>0</v>
      </c>
      <c r="AC43" s="81">
        <f>'5) Amortization of PPE'!AE26</f>
        <v>0</v>
      </c>
      <c r="AD43" s="81">
        <f>'5) Amortization of PPE'!AF26</f>
        <v>0</v>
      </c>
      <c r="AE43" s="81">
        <f>'5) Amortization of PPE'!AG26</f>
        <v>0</v>
      </c>
      <c r="AF43" s="81">
        <f>'5) Amortization of PPE'!AH26</f>
        <v>0</v>
      </c>
      <c r="AG43" s="81">
        <f>'5) Amortization of PPE'!AI26</f>
        <v>0</v>
      </c>
      <c r="AH43" s="81">
        <f>'5) Amortization of PPE'!AJ26</f>
        <v>0</v>
      </c>
      <c r="AI43" s="81">
        <f>'5) Amortization of PPE'!AK26</f>
        <v>0</v>
      </c>
      <c r="AJ43" s="81">
        <f>'5) Amortization of PPE'!AL26</f>
        <v>0</v>
      </c>
      <c r="AK43" s="81">
        <f>'5) Amortization of PPE'!AM26</f>
        <v>0</v>
      </c>
      <c r="AL43" s="81">
        <f>'5) Amortization of PPE'!AN26</f>
        <v>0</v>
      </c>
      <c r="AM43" s="81">
        <f>'5) Amortization of PPE'!AO26</f>
        <v>0</v>
      </c>
      <c r="AN43" s="81">
        <f>'5) Amortization of PPE'!AP26</f>
        <v>0</v>
      </c>
      <c r="AO43" s="81">
        <f>'5) Amortization of PPE'!AQ26</f>
        <v>0</v>
      </c>
      <c r="AP43" s="81">
        <f>'5) Amortization of PPE'!AR26</f>
        <v>0</v>
      </c>
      <c r="AQ43" s="81">
        <f>'5) Amortization of PPE'!AS26</f>
        <v>0</v>
      </c>
      <c r="AR43" s="81">
        <f>'5) Amortization of PPE'!AT26</f>
        <v>0</v>
      </c>
      <c r="AS43" s="81">
        <f>'5) Amortization of PPE'!AU26</f>
        <v>0</v>
      </c>
      <c r="AT43" s="81">
        <f>'5) Amortization of PPE'!AV26</f>
        <v>0</v>
      </c>
      <c r="AU43" s="81">
        <f>'5) Amortization of PPE'!AW26</f>
        <v>0</v>
      </c>
      <c r="AV43" s="81">
        <f>'5) Amortization of PPE'!AX26</f>
        <v>0</v>
      </c>
      <c r="AW43" s="81">
        <f>'5) Amortization of PPE'!AY26</f>
        <v>0</v>
      </c>
      <c r="AX43" s="81">
        <f>'5) Amortization of PPE'!AZ26</f>
        <v>0</v>
      </c>
      <c r="AY43" s="81">
        <f>'5) Amortization of PPE'!BA26</f>
        <v>0</v>
      </c>
      <c r="AZ43" s="81">
        <f>'5) Amortization of PPE'!BB26</f>
        <v>0</v>
      </c>
      <c r="BA43" s="81">
        <f>'5) Amortization of PPE'!BC26</f>
        <v>0</v>
      </c>
      <c r="BB43" s="81">
        <f>'5) Amortization of PPE'!BD26</f>
        <v>0</v>
      </c>
      <c r="BC43" s="81">
        <f>'5) Amortization of PPE'!BE26</f>
        <v>0</v>
      </c>
      <c r="BD43" s="81">
        <f>'5) Amortization of PPE'!BF26</f>
        <v>0</v>
      </c>
      <c r="BE43" s="81">
        <f>'5) Amortization of PPE'!BG26</f>
        <v>0</v>
      </c>
      <c r="BF43" s="81">
        <f>'5) Amortization of PPE'!BH26</f>
        <v>0</v>
      </c>
      <c r="BG43" s="81">
        <f>'5) Amortization of PPE'!BI26</f>
        <v>0</v>
      </c>
      <c r="BH43" s="81">
        <f>'5) Amortization of PPE'!BJ26</f>
        <v>0</v>
      </c>
      <c r="BI43" s="81">
        <f>'5) Amortization of PPE'!BK26</f>
        <v>0</v>
      </c>
      <c r="BJ43" s="81">
        <f>'5) Amortization of PPE'!BL26</f>
        <v>0</v>
      </c>
      <c r="BK43" s="81">
        <f>'5) Amortization of PPE'!BM26</f>
        <v>0</v>
      </c>
    </row>
    <row r="44" spans="1:69" s="215" customFormat="1" ht="14" customHeight="1" thickBot="1">
      <c r="A44" s="89" t="s">
        <v>17</v>
      </c>
      <c r="B44" s="255"/>
      <c r="C44" s="90">
        <f t="shared" ref="C44:AH44" si="6">SUM(C37:C43)</f>
        <v>0</v>
      </c>
      <c r="D44" s="90">
        <f t="shared" si="6"/>
        <v>30167349.726775952</v>
      </c>
      <c r="E44" s="90">
        <f t="shared" si="6"/>
        <v>29856058.060109288</v>
      </c>
      <c r="F44" s="90">
        <f t="shared" si="6"/>
        <v>29577419.518442623</v>
      </c>
      <c r="G44" s="90">
        <f t="shared" si="6"/>
        <v>29333883.086150952</v>
      </c>
      <c r="H44" s="90">
        <f t="shared" si="6"/>
        <v>29128081.421437413</v>
      </c>
      <c r="I44" s="90">
        <f t="shared" si="6"/>
        <v>28962844.631870355</v>
      </c>
      <c r="J44" s="90">
        <f t="shared" si="6"/>
        <v>28841215.083085768</v>
      </c>
      <c r="K44" s="90">
        <f t="shared" si="6"/>
        <v>28766463.31814234</v>
      </c>
      <c r="L44" s="90">
        <f t="shared" si="6"/>
        <v>28742105.170828149</v>
      </c>
      <c r="M44" s="90">
        <f t="shared" si="6"/>
        <v>28771920.162465397</v>
      </c>
      <c r="N44" s="90">
        <f t="shared" si="6"/>
        <v>28859971.278475441</v>
      </c>
      <c r="O44" s="90">
        <f t="shared" si="6"/>
        <v>29010626.228186235</v>
      </c>
      <c r="P44" s="90">
        <f t="shared" si="6"/>
        <v>29222545.463059764</v>
      </c>
      <c r="Q44" s="90">
        <f t="shared" si="6"/>
        <v>29144721.089319304</v>
      </c>
      <c r="R44" s="90">
        <f t="shared" si="6"/>
        <v>29144669.262548305</v>
      </c>
      <c r="S44" s="90">
        <f t="shared" si="6"/>
        <v>29210091.779284488</v>
      </c>
      <c r="T44" s="90">
        <f t="shared" si="6"/>
        <v>29345887.125400882</v>
      </c>
      <c r="U44" s="90">
        <f t="shared" si="6"/>
        <v>29557333.263101004</v>
      </c>
      <c r="V44" s="90">
        <f t="shared" si="6"/>
        <v>29850104.001753643</v>
      </c>
      <c r="W44" s="90">
        <f t="shared" si="6"/>
        <v>30230298.686430223</v>
      </c>
      <c r="X44" s="90">
        <f t="shared" si="6"/>
        <v>30704474.113082547</v>
      </c>
      <c r="Y44" s="90">
        <f t="shared" si="6"/>
        <v>31279678.837358795</v>
      </c>
      <c r="Z44" s="90">
        <f t="shared" si="6"/>
        <v>31963490.05658076</v>
      </c>
      <c r="AA44" s="90">
        <f t="shared" si="6"/>
        <v>32764053.257869381</v>
      </c>
      <c r="AB44" s="90">
        <f t="shared" si="6"/>
        <v>33829076.225637838</v>
      </c>
      <c r="AC44" s="90">
        <f t="shared" si="6"/>
        <v>34347719.473173864</v>
      </c>
      <c r="AD44" s="90">
        <f t="shared" si="6"/>
        <v>35011403.343181357</v>
      </c>
      <c r="AE44" s="90">
        <f t="shared" si="6"/>
        <v>35831005.882345647</v>
      </c>
      <c r="AF44" s="90">
        <f t="shared" si="6"/>
        <v>36818220.990853511</v>
      </c>
      <c r="AG44" s="90">
        <f t="shared" si="6"/>
        <v>37985619.611405715</v>
      </c>
      <c r="AH44" s="90">
        <f t="shared" si="6"/>
        <v>39346715.507405594</v>
      </c>
      <c r="AI44" s="90">
        <f t="shared" ref="AI44:BK44" si="7">SUM(AI37:AI43)</f>
        <v>40916035.974511705</v>
      </c>
      <c r="AJ44" s="90">
        <f t="shared" si="7"/>
        <v>42709197.855557024</v>
      </c>
      <c r="AK44" s="90">
        <f t="shared" si="7"/>
        <v>44742989.256586999</v>
      </c>
      <c r="AL44" s="90">
        <f t="shared" si="7"/>
        <v>47035457.39160046</v>
      </c>
      <c r="AM44" s="90">
        <f t="shared" si="7"/>
        <v>49606003.015646189</v>
      </c>
      <c r="AN44" s="90">
        <f t="shared" si="7"/>
        <v>52741512.878541969</v>
      </c>
      <c r="AO44" s="90">
        <f t="shared" si="7"/>
        <v>54893983.10937278</v>
      </c>
      <c r="AP44" s="90">
        <f t="shared" si="7"/>
        <v>57391908.135836214</v>
      </c>
      <c r="AQ44" s="90">
        <f t="shared" si="7"/>
        <v>60261197.067604713</v>
      </c>
      <c r="AR44" s="90">
        <f t="shared" si="7"/>
        <v>63529702.197576173</v>
      </c>
      <c r="AS44" s="90">
        <f t="shared" si="7"/>
        <v>67227364.740615785</v>
      </c>
      <c r="AT44" s="90">
        <f t="shared" si="7"/>
        <v>71386371.502703711</v>
      </c>
      <c r="AU44" s="90">
        <f t="shared" si="7"/>
        <v>76041323.300268531</v>
      </c>
      <c r="AV44" s="90">
        <f t="shared" si="7"/>
        <v>81229416.010971025</v>
      </c>
      <c r="AW44" s="90">
        <f t="shared" si="7"/>
        <v>86990635.203296497</v>
      </c>
      <c r="AX44" s="90">
        <f t="shared" si="7"/>
        <v>93367965.363366738</v>
      </c>
      <c r="AY44" s="90">
        <f t="shared" si="7"/>
        <v>100407614.8137625</v>
      </c>
      <c r="AZ44" s="90">
        <f t="shared" si="7"/>
        <v>108674833.98515302</v>
      </c>
      <c r="BA44" s="90">
        <f t="shared" si="7"/>
        <v>115179490.58417192</v>
      </c>
      <c r="BB44" s="90">
        <f t="shared" si="7"/>
        <v>122506944.36781451</v>
      </c>
      <c r="BC44" s="90">
        <f t="shared" si="7"/>
        <v>130718905.12492757</v>
      </c>
      <c r="BD44" s="90">
        <f t="shared" si="7"/>
        <v>139881710.87852135</v>
      </c>
      <c r="BE44" s="90">
        <f t="shared" si="7"/>
        <v>150066675.00333196</v>
      </c>
      <c r="BF44" s="90">
        <f t="shared" si="7"/>
        <v>161350459.3772006</v>
      </c>
      <c r="BG44" s="90">
        <f t="shared" si="7"/>
        <v>173815475.5188067</v>
      </c>
      <c r="BH44" s="90">
        <f t="shared" si="7"/>
        <v>187550315.81073046</v>
      </c>
      <c r="BI44" s="90">
        <f t="shared" si="7"/>
        <v>202650217.06424582</v>
      </c>
      <c r="BJ44" s="90">
        <f t="shared" si="7"/>
        <v>219217558.85147208</v>
      </c>
      <c r="BK44" s="90">
        <f t="shared" si="7"/>
        <v>237362399.21243751</v>
      </c>
    </row>
    <row r="45" spans="1:69" s="215" customFormat="1" ht="14" customHeight="1">
      <c r="A45" s="256"/>
      <c r="B45" s="256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8"/>
      <c r="BM45" s="258"/>
      <c r="BN45" s="258"/>
      <c r="BO45" s="258"/>
      <c r="BP45" s="258"/>
      <c r="BQ45" s="258"/>
    </row>
    <row r="46" spans="1:69" s="215" customFormat="1" ht="14" customHeight="1">
      <c r="A46" s="80" t="s">
        <v>3</v>
      </c>
      <c r="B46" s="259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8"/>
      <c r="BM46" s="258"/>
      <c r="BN46" s="258"/>
      <c r="BO46" s="258"/>
      <c r="BP46" s="258"/>
      <c r="BQ46" s="258"/>
    </row>
    <row r="47" spans="1:69" s="215" customFormat="1" ht="14" customHeight="1">
      <c r="A47" s="70" t="s">
        <v>36</v>
      </c>
      <c r="B47" s="70"/>
      <c r="C47" s="254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</row>
    <row r="48" spans="1:69" s="215" customFormat="1" ht="14" customHeight="1">
      <c r="A48" s="70"/>
      <c r="B48" s="70" t="s">
        <v>59</v>
      </c>
      <c r="C48" s="81">
        <f>'8) Opening Balance Sheet'!C18</f>
        <v>0</v>
      </c>
      <c r="D48" s="81">
        <f>('2) Assumptions'!$D$14/30.5)*'Income Statement'!C58</f>
        <v>509016.39344262297</v>
      </c>
      <c r="E48" s="81">
        <f>('2) Assumptions'!$D$14/30.5)*'Income Statement'!D58</f>
        <v>509016.39344262297</v>
      </c>
      <c r="F48" s="81">
        <f>('2) Assumptions'!$D$14/30.5)*'Income Statement'!E58</f>
        <v>509016.39344262297</v>
      </c>
      <c r="G48" s="81">
        <f>('2) Assumptions'!$D$14/30.5)*'Income Statement'!F58</f>
        <v>509016.39344262297</v>
      </c>
      <c r="H48" s="81">
        <f>('2) Assumptions'!$D$14/30.5)*'Income Statement'!G58</f>
        <v>509016.39344262297</v>
      </c>
      <c r="I48" s="81">
        <f>('2) Assumptions'!$D$14/30.5)*'Income Statement'!H58</f>
        <v>509016.39344262297</v>
      </c>
      <c r="J48" s="81">
        <f>('2) Assumptions'!$D$14/30.5)*'Income Statement'!I58</f>
        <v>509016.39344262297</v>
      </c>
      <c r="K48" s="81">
        <f>('2) Assumptions'!$D$14/30.5)*'Income Statement'!J58</f>
        <v>509016.39344262297</v>
      </c>
      <c r="L48" s="81">
        <f>('2) Assumptions'!$D$14/30.5)*'Income Statement'!K58</f>
        <v>509016.39344262297</v>
      </c>
      <c r="M48" s="81">
        <f>('2) Assumptions'!$D$14/30.5)*'Income Statement'!L58</f>
        <v>509016.39344262297</v>
      </c>
      <c r="N48" s="81">
        <f>('2) Assumptions'!$D$14/30.5)*'Income Statement'!M58</f>
        <v>509016.39344262297</v>
      </c>
      <c r="O48" s="81">
        <f>('2) Assumptions'!$D$14/30.5)*'Income Statement'!N58</f>
        <v>509016.39344262297</v>
      </c>
      <c r="P48" s="81">
        <f>('2) Assumptions'!$D$14/30.5)*'Income Statement'!O58</f>
        <v>871106.55737704912</v>
      </c>
      <c r="Q48" s="81">
        <f>('2) Assumptions'!$D$14/30.5)*'Income Statement'!P58</f>
        <v>871106.55737704912</v>
      </c>
      <c r="R48" s="81">
        <f>('2) Assumptions'!$D$14/30.5)*'Income Statement'!Q58</f>
        <v>871106.55737704912</v>
      </c>
      <c r="S48" s="81">
        <f>('2) Assumptions'!$D$14/30.5)*'Income Statement'!R58</f>
        <v>871106.55737704912</v>
      </c>
      <c r="T48" s="81">
        <f>('2) Assumptions'!$D$14/30.5)*'Income Statement'!S58</f>
        <v>871106.55737704912</v>
      </c>
      <c r="U48" s="81">
        <f>('2) Assumptions'!$D$14/30.5)*'Income Statement'!T58</f>
        <v>871106.55737704912</v>
      </c>
      <c r="V48" s="81">
        <f>('2) Assumptions'!$D$14/30.5)*'Income Statement'!U58</f>
        <v>871106.55737704912</v>
      </c>
      <c r="W48" s="81">
        <f>('2) Assumptions'!$D$14/30.5)*'Income Statement'!V58</f>
        <v>871106.55737704912</v>
      </c>
      <c r="X48" s="81">
        <f>('2) Assumptions'!$D$14/30.5)*'Income Statement'!W58</f>
        <v>871106.55737704912</v>
      </c>
      <c r="Y48" s="81">
        <f>('2) Assumptions'!$D$14/30.5)*'Income Statement'!X58</f>
        <v>871106.55737704912</v>
      </c>
      <c r="Z48" s="81">
        <f>('2) Assumptions'!$D$14/30.5)*'Income Statement'!Y58</f>
        <v>871106.55737704912</v>
      </c>
      <c r="AA48" s="81">
        <f>('2) Assumptions'!$D$14/30.5)*'Income Statement'!Z58</f>
        <v>871106.55737704912</v>
      </c>
      <c r="AB48" s="81">
        <f>('2) Assumptions'!$D$14/30.5)*'Income Statement'!AA58</f>
        <v>1552407.7868852459</v>
      </c>
      <c r="AC48" s="81">
        <f>('2) Assumptions'!$D$14/30.5)*'Income Statement'!AB58</f>
        <v>1552407.7868852459</v>
      </c>
      <c r="AD48" s="81">
        <f>('2) Assumptions'!$D$14/30.5)*'Income Statement'!AC58</f>
        <v>1552407.7868852459</v>
      </c>
      <c r="AE48" s="81">
        <f>('2) Assumptions'!$D$14/30.5)*'Income Statement'!AD58</f>
        <v>1552407.7868852459</v>
      </c>
      <c r="AF48" s="81">
        <f>('2) Assumptions'!$D$14/30.5)*'Income Statement'!AE58</f>
        <v>1552407.7868852459</v>
      </c>
      <c r="AG48" s="81">
        <f>('2) Assumptions'!$D$14/30.5)*'Income Statement'!AF58</f>
        <v>1552407.7868852459</v>
      </c>
      <c r="AH48" s="81">
        <f>('2) Assumptions'!$D$14/30.5)*'Income Statement'!AG58</f>
        <v>1552407.7868852459</v>
      </c>
      <c r="AI48" s="81">
        <f>('2) Assumptions'!$D$14/30.5)*'Income Statement'!AH58</f>
        <v>1552407.7868852459</v>
      </c>
      <c r="AJ48" s="81">
        <f>('2) Assumptions'!$D$14/30.5)*'Income Statement'!AI58</f>
        <v>1552407.7868852459</v>
      </c>
      <c r="AK48" s="81">
        <f>('2) Assumptions'!$D$14/30.5)*'Income Statement'!AJ58</f>
        <v>1552407.7868852459</v>
      </c>
      <c r="AL48" s="81">
        <f>('2) Assumptions'!$D$14/30.5)*'Income Statement'!AK58</f>
        <v>1552407.7868852459</v>
      </c>
      <c r="AM48" s="81">
        <f>('2) Assumptions'!$D$14/30.5)*'Income Statement'!AL58</f>
        <v>1552407.7868852459</v>
      </c>
      <c r="AN48" s="81">
        <f>('2) Assumptions'!$D$14/30.5)*'Income Statement'!AM58</f>
        <v>2856800.7172131147</v>
      </c>
      <c r="AO48" s="81">
        <f>('2) Assumptions'!$D$14/30.5)*'Income Statement'!AN58</f>
        <v>2856800.7172131147</v>
      </c>
      <c r="AP48" s="81">
        <f>('2) Assumptions'!$D$14/30.5)*'Income Statement'!AO58</f>
        <v>2856800.7172131147</v>
      </c>
      <c r="AQ48" s="81">
        <f>('2) Assumptions'!$D$14/30.5)*'Income Statement'!AP58</f>
        <v>2856800.7172131147</v>
      </c>
      <c r="AR48" s="81">
        <f>('2) Assumptions'!$D$14/30.5)*'Income Statement'!AQ58</f>
        <v>2856800.7172131147</v>
      </c>
      <c r="AS48" s="81">
        <f>('2) Assumptions'!$D$14/30.5)*'Income Statement'!AR58</f>
        <v>2856800.7172131147</v>
      </c>
      <c r="AT48" s="81">
        <f>('2) Assumptions'!$D$14/30.5)*'Income Statement'!AS58</f>
        <v>2856800.7172131147</v>
      </c>
      <c r="AU48" s="81">
        <f>('2) Assumptions'!$D$14/30.5)*'Income Statement'!AT58</f>
        <v>2856800.7172131147</v>
      </c>
      <c r="AV48" s="81">
        <f>('2) Assumptions'!$D$14/30.5)*'Income Statement'!AU58</f>
        <v>2856800.7172131147</v>
      </c>
      <c r="AW48" s="81">
        <f>('2) Assumptions'!$D$14/30.5)*'Income Statement'!AV58</f>
        <v>2856800.7172131147</v>
      </c>
      <c r="AX48" s="81">
        <f>('2) Assumptions'!$D$14/30.5)*'Income Statement'!AW58</f>
        <v>2856800.7172131147</v>
      </c>
      <c r="AY48" s="81">
        <f>('2) Assumptions'!$D$14/30.5)*'Income Statement'!AX58</f>
        <v>2856800.7172131147</v>
      </c>
      <c r="AZ48" s="81">
        <f>('2) Assumptions'!$D$14/30.5)*'Income Statement'!AY58</f>
        <v>5384756.0194672132</v>
      </c>
      <c r="BA48" s="81">
        <f>('2) Assumptions'!$D$14/30.5)*'Income Statement'!AZ58</f>
        <v>5384756.0194672132</v>
      </c>
      <c r="BB48" s="81">
        <f>('2) Assumptions'!$D$14/30.5)*'Income Statement'!BA58</f>
        <v>5384756.0194672132</v>
      </c>
      <c r="BC48" s="81">
        <f>('2) Assumptions'!$D$14/30.5)*'Income Statement'!BB58</f>
        <v>5384756.0194672132</v>
      </c>
      <c r="BD48" s="81">
        <f>('2) Assumptions'!$D$14/30.5)*'Income Statement'!BC58</f>
        <v>5384756.0194672132</v>
      </c>
      <c r="BE48" s="81">
        <f>('2) Assumptions'!$D$14/30.5)*'Income Statement'!BD58</f>
        <v>5384756.0194672132</v>
      </c>
      <c r="BF48" s="81">
        <f>('2) Assumptions'!$D$14/30.5)*'Income Statement'!BE58</f>
        <v>5384756.0194672132</v>
      </c>
      <c r="BG48" s="81">
        <f>('2) Assumptions'!$D$14/30.5)*'Income Statement'!BF58</f>
        <v>5384756.0194672132</v>
      </c>
      <c r="BH48" s="81">
        <f>('2) Assumptions'!$D$14/30.5)*'Income Statement'!BG58</f>
        <v>5384756.0194672132</v>
      </c>
      <c r="BI48" s="81">
        <f>('2) Assumptions'!$D$14/30.5)*'Income Statement'!BH58</f>
        <v>5384756.0194672132</v>
      </c>
      <c r="BJ48" s="81">
        <f>('2) Assumptions'!$D$14/30.5)*'Income Statement'!BI58</f>
        <v>5384756.0194672132</v>
      </c>
      <c r="BK48" s="81">
        <f>('2) Assumptions'!$D$14/30.5)*'Income Statement'!BJ58</f>
        <v>5384756.0194672132</v>
      </c>
    </row>
    <row r="49" spans="1:68" s="215" customFormat="1" ht="14" customHeight="1">
      <c r="A49" s="70" t="s">
        <v>187</v>
      </c>
      <c r="B49" s="7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</row>
    <row r="50" spans="1:68" s="215" customFormat="1" ht="14" customHeight="1">
      <c r="A50" s="70"/>
      <c r="B50" s="70" t="s">
        <v>136</v>
      </c>
      <c r="C50" s="81">
        <f>'8) Opening Balance Sheet'!C20</f>
        <v>0</v>
      </c>
      <c r="D50" s="81">
        <f>'Loan Amortization Schedule'!D13+'Loan Amortization Schedule'!D24+'Loan Amortization Schedule'!D35+'Loan Amortization Schedule'!D46</f>
        <v>0</v>
      </c>
      <c r="E50" s="81">
        <f>'Loan Amortization Schedule'!E13+'Loan Amortization Schedule'!E24+'Loan Amortization Schedule'!E35+'Loan Amortization Schedule'!E46</f>
        <v>0</v>
      </c>
      <c r="F50" s="81">
        <f>'Loan Amortization Schedule'!F13+'Loan Amortization Schedule'!F24+'Loan Amortization Schedule'!F35+'Loan Amortization Schedule'!F46</f>
        <v>0</v>
      </c>
      <c r="G50" s="81">
        <f>'Loan Amortization Schedule'!G13+'Loan Amortization Schedule'!G24+'Loan Amortization Schedule'!G35+'Loan Amortization Schedule'!G46</f>
        <v>0</v>
      </c>
      <c r="H50" s="81">
        <f>'Loan Amortization Schedule'!H13+'Loan Amortization Schedule'!H24+'Loan Amortization Schedule'!H35+'Loan Amortization Schedule'!H46</f>
        <v>0</v>
      </c>
      <c r="I50" s="81">
        <f>'Loan Amortization Schedule'!I13+'Loan Amortization Schedule'!I24+'Loan Amortization Schedule'!I35+'Loan Amortization Schedule'!I46</f>
        <v>0</v>
      </c>
      <c r="J50" s="81">
        <f>'Loan Amortization Schedule'!J13+'Loan Amortization Schedule'!J24+'Loan Amortization Schedule'!J35+'Loan Amortization Schedule'!J46</f>
        <v>0</v>
      </c>
      <c r="K50" s="81">
        <f>'Loan Amortization Schedule'!K13+'Loan Amortization Schedule'!K24+'Loan Amortization Schedule'!K35+'Loan Amortization Schedule'!K46</f>
        <v>0</v>
      </c>
      <c r="L50" s="81">
        <f>'Loan Amortization Schedule'!L13+'Loan Amortization Schedule'!L24+'Loan Amortization Schedule'!L35+'Loan Amortization Schedule'!L46</f>
        <v>0</v>
      </c>
      <c r="M50" s="81">
        <f>'Loan Amortization Schedule'!M13+'Loan Amortization Schedule'!M24+'Loan Amortization Schedule'!M35+'Loan Amortization Schedule'!M46</f>
        <v>0</v>
      </c>
      <c r="N50" s="81">
        <f>'Loan Amortization Schedule'!N13+'Loan Amortization Schedule'!N24+'Loan Amortization Schedule'!N35+'Loan Amortization Schedule'!N46</f>
        <v>0</v>
      </c>
      <c r="O50" s="81">
        <f>'Loan Amortization Schedule'!O13+'Loan Amortization Schedule'!O24+'Loan Amortization Schedule'!O35+'Loan Amortization Schedule'!O46</f>
        <v>0</v>
      </c>
      <c r="P50" s="81">
        <f>'Loan Amortization Schedule'!P13+'Loan Amortization Schedule'!P24+'Loan Amortization Schedule'!P35+'Loan Amortization Schedule'!P46</f>
        <v>0</v>
      </c>
      <c r="Q50" s="81">
        <f>'Loan Amortization Schedule'!Q13+'Loan Amortization Schedule'!Q24+'Loan Amortization Schedule'!Q35+'Loan Amortization Schedule'!Q46</f>
        <v>0</v>
      </c>
      <c r="R50" s="81">
        <f>'Loan Amortization Schedule'!R13+'Loan Amortization Schedule'!R24+'Loan Amortization Schedule'!R35+'Loan Amortization Schedule'!R46</f>
        <v>0</v>
      </c>
      <c r="S50" s="81">
        <f>'Loan Amortization Schedule'!S13+'Loan Amortization Schedule'!S24+'Loan Amortization Schedule'!S35+'Loan Amortization Schedule'!S46</f>
        <v>0</v>
      </c>
      <c r="T50" s="81">
        <f>'Loan Amortization Schedule'!T13+'Loan Amortization Schedule'!T24+'Loan Amortization Schedule'!T35+'Loan Amortization Schedule'!T46</f>
        <v>0</v>
      </c>
      <c r="U50" s="81">
        <f>'Loan Amortization Schedule'!U13+'Loan Amortization Schedule'!U24+'Loan Amortization Schedule'!U35+'Loan Amortization Schedule'!U46</f>
        <v>0</v>
      </c>
      <c r="V50" s="81">
        <f>'Loan Amortization Schedule'!V13+'Loan Amortization Schedule'!V24+'Loan Amortization Schedule'!V35+'Loan Amortization Schedule'!V46</f>
        <v>0</v>
      </c>
      <c r="W50" s="81">
        <f>'Loan Amortization Schedule'!W13+'Loan Amortization Schedule'!W24+'Loan Amortization Schedule'!W35+'Loan Amortization Schedule'!W46</f>
        <v>0</v>
      </c>
      <c r="X50" s="81">
        <f>'Loan Amortization Schedule'!X13+'Loan Amortization Schedule'!X24+'Loan Amortization Schedule'!X35+'Loan Amortization Schedule'!X46</f>
        <v>0</v>
      </c>
      <c r="Y50" s="81">
        <f>'Loan Amortization Schedule'!Y13+'Loan Amortization Schedule'!Y24+'Loan Amortization Schedule'!Y35+'Loan Amortization Schedule'!Y46</f>
        <v>0</v>
      </c>
      <c r="Z50" s="81">
        <f>'Loan Amortization Schedule'!Z13+'Loan Amortization Schedule'!Z24+'Loan Amortization Schedule'!Z35+'Loan Amortization Schedule'!Z46</f>
        <v>0</v>
      </c>
      <c r="AA50" s="81">
        <f>'Loan Amortization Schedule'!AA13+'Loan Amortization Schedule'!AA24+'Loan Amortization Schedule'!AA35+'Loan Amortization Schedule'!AA46</f>
        <v>0</v>
      </c>
      <c r="AB50" s="81">
        <f>'Loan Amortization Schedule'!AB13+'Loan Amortization Schedule'!AB24+'Loan Amortization Schedule'!AB35+'Loan Amortization Schedule'!AB46</f>
        <v>0</v>
      </c>
      <c r="AC50" s="81">
        <f>'Loan Amortization Schedule'!AC13+'Loan Amortization Schedule'!AC24+'Loan Amortization Schedule'!AC35+'Loan Amortization Schedule'!AC46</f>
        <v>0</v>
      </c>
      <c r="AD50" s="81">
        <f>'Loan Amortization Schedule'!AD13+'Loan Amortization Schedule'!AD24+'Loan Amortization Schedule'!AD35+'Loan Amortization Schedule'!AD46</f>
        <v>0</v>
      </c>
      <c r="AE50" s="81">
        <f>'Loan Amortization Schedule'!AE13+'Loan Amortization Schedule'!AE24+'Loan Amortization Schedule'!AE35+'Loan Amortization Schedule'!AE46</f>
        <v>0</v>
      </c>
      <c r="AF50" s="81">
        <f>'Loan Amortization Schedule'!AF13+'Loan Amortization Schedule'!AF24+'Loan Amortization Schedule'!AF35+'Loan Amortization Schedule'!AF46</f>
        <v>0</v>
      </c>
      <c r="AG50" s="81">
        <f>'Loan Amortization Schedule'!AG13+'Loan Amortization Schedule'!AG24+'Loan Amortization Schedule'!AG35+'Loan Amortization Schedule'!AG46</f>
        <v>0</v>
      </c>
      <c r="AH50" s="81">
        <f>'Loan Amortization Schedule'!AH13+'Loan Amortization Schedule'!AH24+'Loan Amortization Schedule'!AH35+'Loan Amortization Schedule'!AH46</f>
        <v>0</v>
      </c>
      <c r="AI50" s="81">
        <f>'Loan Amortization Schedule'!AI13+'Loan Amortization Schedule'!AI24+'Loan Amortization Schedule'!AI35+'Loan Amortization Schedule'!AI46</f>
        <v>0</v>
      </c>
      <c r="AJ50" s="81">
        <f>'Loan Amortization Schedule'!AJ13+'Loan Amortization Schedule'!AJ24+'Loan Amortization Schedule'!AJ35+'Loan Amortization Schedule'!AJ46</f>
        <v>0</v>
      </c>
      <c r="AK50" s="81">
        <f>'Loan Amortization Schedule'!AK13+'Loan Amortization Schedule'!AK24+'Loan Amortization Schedule'!AK35+'Loan Amortization Schedule'!AK46</f>
        <v>0</v>
      </c>
      <c r="AL50" s="81">
        <f>'Loan Amortization Schedule'!AL13+'Loan Amortization Schedule'!AL24+'Loan Amortization Schedule'!AL35+'Loan Amortization Schedule'!AL46</f>
        <v>0</v>
      </c>
      <c r="AM50" s="81">
        <f>'Loan Amortization Schedule'!AM13+'Loan Amortization Schedule'!AM24+'Loan Amortization Schedule'!AM35+'Loan Amortization Schedule'!AM46</f>
        <v>0</v>
      </c>
      <c r="AN50" s="81">
        <f>'Loan Amortization Schedule'!AN13+'Loan Amortization Schedule'!AN24+'Loan Amortization Schedule'!AN35+'Loan Amortization Schedule'!AN46</f>
        <v>0</v>
      </c>
      <c r="AO50" s="81">
        <f>'Loan Amortization Schedule'!AO13+'Loan Amortization Schedule'!AO24+'Loan Amortization Schedule'!AO35+'Loan Amortization Schedule'!AO46</f>
        <v>0</v>
      </c>
      <c r="AP50" s="81">
        <f>'Loan Amortization Schedule'!AP13+'Loan Amortization Schedule'!AP24+'Loan Amortization Schedule'!AP35+'Loan Amortization Schedule'!AP46</f>
        <v>0</v>
      </c>
      <c r="AQ50" s="81">
        <f>'Loan Amortization Schedule'!AQ13+'Loan Amortization Schedule'!AQ24+'Loan Amortization Schedule'!AQ35+'Loan Amortization Schedule'!AQ46</f>
        <v>0</v>
      </c>
      <c r="AR50" s="81">
        <f>'Loan Amortization Schedule'!AR13+'Loan Amortization Schedule'!AR24+'Loan Amortization Schedule'!AR35+'Loan Amortization Schedule'!AR46</f>
        <v>0</v>
      </c>
      <c r="AS50" s="81">
        <f>'Loan Amortization Schedule'!AS13+'Loan Amortization Schedule'!AS24+'Loan Amortization Schedule'!AS35+'Loan Amortization Schedule'!AS46</f>
        <v>0</v>
      </c>
      <c r="AT50" s="81">
        <f>'Loan Amortization Schedule'!AT13+'Loan Amortization Schedule'!AT24+'Loan Amortization Schedule'!AT35+'Loan Amortization Schedule'!AT46</f>
        <v>0</v>
      </c>
      <c r="AU50" s="81">
        <f>'Loan Amortization Schedule'!AU13+'Loan Amortization Schedule'!AU24+'Loan Amortization Schedule'!AU35+'Loan Amortization Schedule'!AU46</f>
        <v>0</v>
      </c>
      <c r="AV50" s="81">
        <f>'Loan Amortization Schedule'!AV13+'Loan Amortization Schedule'!AV24+'Loan Amortization Schedule'!AV35+'Loan Amortization Schedule'!AV46</f>
        <v>0</v>
      </c>
      <c r="AW50" s="81">
        <f>'Loan Amortization Schedule'!AW13+'Loan Amortization Schedule'!AW24+'Loan Amortization Schedule'!AW35+'Loan Amortization Schedule'!AW46</f>
        <v>0</v>
      </c>
      <c r="AX50" s="81">
        <f>'Loan Amortization Schedule'!AX13+'Loan Amortization Schedule'!AX24+'Loan Amortization Schedule'!AX35+'Loan Amortization Schedule'!AX46</f>
        <v>0</v>
      </c>
      <c r="AY50" s="81">
        <f>'Loan Amortization Schedule'!AY13+'Loan Amortization Schedule'!AY24+'Loan Amortization Schedule'!AY35+'Loan Amortization Schedule'!AY46</f>
        <v>0</v>
      </c>
      <c r="AZ50" s="81">
        <f>'Loan Amortization Schedule'!AZ13+'Loan Amortization Schedule'!AZ24+'Loan Amortization Schedule'!AZ35+'Loan Amortization Schedule'!AZ46</f>
        <v>0</v>
      </c>
      <c r="BA50" s="81">
        <f>'Loan Amortization Schedule'!BA13+'Loan Amortization Schedule'!BA24+'Loan Amortization Schedule'!BA35+'Loan Amortization Schedule'!BA46</f>
        <v>0</v>
      </c>
      <c r="BB50" s="81">
        <f>'Loan Amortization Schedule'!BB13+'Loan Amortization Schedule'!BB24+'Loan Amortization Schedule'!BB35+'Loan Amortization Schedule'!BB46</f>
        <v>0</v>
      </c>
      <c r="BC50" s="81">
        <f>'Loan Amortization Schedule'!BC13+'Loan Amortization Schedule'!BC24+'Loan Amortization Schedule'!BC35+'Loan Amortization Schedule'!BC46</f>
        <v>0</v>
      </c>
      <c r="BD50" s="81">
        <f>'Loan Amortization Schedule'!BD13+'Loan Amortization Schedule'!BD24+'Loan Amortization Schedule'!BD35+'Loan Amortization Schedule'!BD46</f>
        <v>0</v>
      </c>
      <c r="BE50" s="81">
        <f>'Loan Amortization Schedule'!BE13+'Loan Amortization Schedule'!BE24+'Loan Amortization Schedule'!BE35+'Loan Amortization Schedule'!BE46</f>
        <v>0</v>
      </c>
      <c r="BF50" s="81">
        <f>'Loan Amortization Schedule'!BF13+'Loan Amortization Schedule'!BF24+'Loan Amortization Schedule'!BF35+'Loan Amortization Schedule'!BF46</f>
        <v>0</v>
      </c>
      <c r="BG50" s="81">
        <f>'Loan Amortization Schedule'!BG13+'Loan Amortization Schedule'!BG24+'Loan Amortization Schedule'!BG35+'Loan Amortization Schedule'!BG46</f>
        <v>0</v>
      </c>
      <c r="BH50" s="81">
        <f>'Loan Amortization Schedule'!BH13+'Loan Amortization Schedule'!BH24+'Loan Amortization Schedule'!BH35+'Loan Amortization Schedule'!BH46</f>
        <v>0</v>
      </c>
      <c r="BI50" s="81">
        <f>'Loan Amortization Schedule'!BI13+'Loan Amortization Schedule'!BI24+'Loan Amortization Schedule'!BI35+'Loan Amortization Schedule'!BI46</f>
        <v>0</v>
      </c>
      <c r="BJ50" s="81">
        <f>'Loan Amortization Schedule'!BJ13+'Loan Amortization Schedule'!BJ24+'Loan Amortization Schedule'!BJ35+'Loan Amortization Schedule'!BJ46</f>
        <v>0</v>
      </c>
      <c r="BK50" s="81">
        <f>'Loan Amortization Schedule'!BK13+'Loan Amortization Schedule'!BK24+'Loan Amortization Schedule'!BK35+'Loan Amortization Schedule'!BK46</f>
        <v>0</v>
      </c>
    </row>
    <row r="51" spans="1:68" s="215" customFormat="1" ht="14" customHeight="1">
      <c r="A51" s="201" t="s">
        <v>189</v>
      </c>
      <c r="B51" s="201"/>
      <c r="C51" s="202">
        <f t="shared" ref="C51:AH51" si="8">SUM(C48:C50)</f>
        <v>0</v>
      </c>
      <c r="D51" s="202">
        <f t="shared" si="8"/>
        <v>509016.39344262297</v>
      </c>
      <c r="E51" s="202">
        <f t="shared" si="8"/>
        <v>509016.39344262297</v>
      </c>
      <c r="F51" s="202">
        <f t="shared" si="8"/>
        <v>509016.39344262297</v>
      </c>
      <c r="G51" s="202">
        <f t="shared" si="8"/>
        <v>509016.39344262297</v>
      </c>
      <c r="H51" s="202">
        <f t="shared" si="8"/>
        <v>509016.39344262297</v>
      </c>
      <c r="I51" s="202">
        <f t="shared" si="8"/>
        <v>509016.39344262297</v>
      </c>
      <c r="J51" s="202">
        <f t="shared" si="8"/>
        <v>509016.39344262297</v>
      </c>
      <c r="K51" s="202">
        <f t="shared" si="8"/>
        <v>509016.39344262297</v>
      </c>
      <c r="L51" s="202">
        <f t="shared" si="8"/>
        <v>509016.39344262297</v>
      </c>
      <c r="M51" s="202">
        <f t="shared" si="8"/>
        <v>509016.39344262297</v>
      </c>
      <c r="N51" s="202">
        <f t="shared" si="8"/>
        <v>509016.39344262297</v>
      </c>
      <c r="O51" s="202">
        <f t="shared" si="8"/>
        <v>509016.39344262297</v>
      </c>
      <c r="P51" s="202">
        <f t="shared" si="8"/>
        <v>871106.55737704912</v>
      </c>
      <c r="Q51" s="202">
        <f t="shared" si="8"/>
        <v>871106.55737704912</v>
      </c>
      <c r="R51" s="202">
        <f t="shared" si="8"/>
        <v>871106.55737704912</v>
      </c>
      <c r="S51" s="202">
        <f t="shared" si="8"/>
        <v>871106.55737704912</v>
      </c>
      <c r="T51" s="202">
        <f t="shared" si="8"/>
        <v>871106.55737704912</v>
      </c>
      <c r="U51" s="202">
        <f t="shared" si="8"/>
        <v>871106.55737704912</v>
      </c>
      <c r="V51" s="202">
        <f t="shared" si="8"/>
        <v>871106.55737704912</v>
      </c>
      <c r="W51" s="202">
        <f t="shared" si="8"/>
        <v>871106.55737704912</v>
      </c>
      <c r="X51" s="202">
        <f t="shared" si="8"/>
        <v>871106.55737704912</v>
      </c>
      <c r="Y51" s="202">
        <f t="shared" si="8"/>
        <v>871106.55737704912</v>
      </c>
      <c r="Z51" s="202">
        <f t="shared" si="8"/>
        <v>871106.55737704912</v>
      </c>
      <c r="AA51" s="202">
        <f t="shared" si="8"/>
        <v>871106.55737704912</v>
      </c>
      <c r="AB51" s="202">
        <f t="shared" si="8"/>
        <v>1552407.7868852459</v>
      </c>
      <c r="AC51" s="202">
        <f t="shared" si="8"/>
        <v>1552407.7868852459</v>
      </c>
      <c r="AD51" s="202">
        <f t="shared" si="8"/>
        <v>1552407.7868852459</v>
      </c>
      <c r="AE51" s="202">
        <f t="shared" si="8"/>
        <v>1552407.7868852459</v>
      </c>
      <c r="AF51" s="202">
        <f t="shared" si="8"/>
        <v>1552407.7868852459</v>
      </c>
      <c r="AG51" s="202">
        <f t="shared" si="8"/>
        <v>1552407.7868852459</v>
      </c>
      <c r="AH51" s="202">
        <f t="shared" si="8"/>
        <v>1552407.7868852459</v>
      </c>
      <c r="AI51" s="202">
        <f t="shared" ref="AI51:BK51" si="9">SUM(AI48:AI50)</f>
        <v>1552407.7868852459</v>
      </c>
      <c r="AJ51" s="202">
        <f t="shared" si="9"/>
        <v>1552407.7868852459</v>
      </c>
      <c r="AK51" s="202">
        <f t="shared" si="9"/>
        <v>1552407.7868852459</v>
      </c>
      <c r="AL51" s="202">
        <f t="shared" si="9"/>
        <v>1552407.7868852459</v>
      </c>
      <c r="AM51" s="202">
        <f t="shared" si="9"/>
        <v>1552407.7868852459</v>
      </c>
      <c r="AN51" s="202">
        <f t="shared" si="9"/>
        <v>2856800.7172131147</v>
      </c>
      <c r="AO51" s="202">
        <f t="shared" si="9"/>
        <v>2856800.7172131147</v>
      </c>
      <c r="AP51" s="202">
        <f t="shared" si="9"/>
        <v>2856800.7172131147</v>
      </c>
      <c r="AQ51" s="202">
        <f t="shared" si="9"/>
        <v>2856800.7172131147</v>
      </c>
      <c r="AR51" s="202">
        <f t="shared" si="9"/>
        <v>2856800.7172131147</v>
      </c>
      <c r="AS51" s="202">
        <f t="shared" si="9"/>
        <v>2856800.7172131147</v>
      </c>
      <c r="AT51" s="202">
        <f t="shared" si="9"/>
        <v>2856800.7172131147</v>
      </c>
      <c r="AU51" s="202">
        <f t="shared" si="9"/>
        <v>2856800.7172131147</v>
      </c>
      <c r="AV51" s="202">
        <f t="shared" si="9"/>
        <v>2856800.7172131147</v>
      </c>
      <c r="AW51" s="202">
        <f t="shared" si="9"/>
        <v>2856800.7172131147</v>
      </c>
      <c r="AX51" s="202">
        <f t="shared" si="9"/>
        <v>2856800.7172131147</v>
      </c>
      <c r="AY51" s="202">
        <f t="shared" si="9"/>
        <v>2856800.7172131147</v>
      </c>
      <c r="AZ51" s="202">
        <f t="shared" si="9"/>
        <v>5384756.0194672132</v>
      </c>
      <c r="BA51" s="202">
        <f t="shared" si="9"/>
        <v>5384756.0194672132</v>
      </c>
      <c r="BB51" s="202">
        <f t="shared" si="9"/>
        <v>5384756.0194672132</v>
      </c>
      <c r="BC51" s="202">
        <f t="shared" si="9"/>
        <v>5384756.0194672132</v>
      </c>
      <c r="BD51" s="202">
        <f t="shared" si="9"/>
        <v>5384756.0194672132</v>
      </c>
      <c r="BE51" s="202">
        <f t="shared" si="9"/>
        <v>5384756.0194672132</v>
      </c>
      <c r="BF51" s="202">
        <f t="shared" si="9"/>
        <v>5384756.0194672132</v>
      </c>
      <c r="BG51" s="202">
        <f t="shared" si="9"/>
        <v>5384756.0194672132</v>
      </c>
      <c r="BH51" s="202">
        <f t="shared" si="9"/>
        <v>5384756.0194672132</v>
      </c>
      <c r="BI51" s="202">
        <f t="shared" si="9"/>
        <v>5384756.0194672132</v>
      </c>
      <c r="BJ51" s="202">
        <f t="shared" si="9"/>
        <v>5384756.0194672132</v>
      </c>
      <c r="BK51" s="202">
        <f t="shared" si="9"/>
        <v>5384756.0194672132</v>
      </c>
    </row>
    <row r="52" spans="1:68" s="215" customFormat="1" ht="14" customHeight="1">
      <c r="A52" s="80" t="s">
        <v>5</v>
      </c>
      <c r="B52" s="259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8"/>
      <c r="BM52" s="258"/>
      <c r="BN52" s="258"/>
      <c r="BO52" s="258"/>
      <c r="BP52" s="258"/>
    </row>
    <row r="53" spans="1:68" s="215" customFormat="1" ht="14" customHeight="1">
      <c r="A53" s="259"/>
      <c r="B53" s="259" t="s">
        <v>37</v>
      </c>
      <c r="C53" s="81">
        <f>'8) Opening Balance Sheet'!C23</f>
        <v>0</v>
      </c>
      <c r="D53" s="81">
        <f>'6) Capital '!F10+C53</f>
        <v>30000000</v>
      </c>
      <c r="E53" s="81">
        <f>D53+'6) Capital '!G10</f>
        <v>30000000</v>
      </c>
      <c r="F53" s="81">
        <f>E53+'6) Capital '!H10</f>
        <v>30000000</v>
      </c>
      <c r="G53" s="81">
        <f>F53+'6) Capital '!I10</f>
        <v>30000000</v>
      </c>
      <c r="H53" s="81">
        <f>G53+'6) Capital '!J10</f>
        <v>30000000</v>
      </c>
      <c r="I53" s="81">
        <f>H53+'6) Capital '!K10</f>
        <v>30000000</v>
      </c>
      <c r="J53" s="81">
        <f>I53+'6) Capital '!L10</f>
        <v>30000000</v>
      </c>
      <c r="K53" s="81">
        <f>J53+'6) Capital '!M10</f>
        <v>30000000</v>
      </c>
      <c r="L53" s="81">
        <f>K53+'6) Capital '!N10</f>
        <v>30000000</v>
      </c>
      <c r="M53" s="81">
        <f>L53+'6) Capital '!O10</f>
        <v>30000000</v>
      </c>
      <c r="N53" s="81">
        <f>M53+'6) Capital '!P10</f>
        <v>30000000</v>
      </c>
      <c r="O53" s="81">
        <f>N53+'6) Capital '!Q10</f>
        <v>30000000</v>
      </c>
      <c r="P53" s="81">
        <f>O53+'6) Capital '!R10</f>
        <v>30000000</v>
      </c>
      <c r="Q53" s="81">
        <f>P53+'6) Capital '!S10</f>
        <v>30000000</v>
      </c>
      <c r="R53" s="81">
        <f>Q53+'6) Capital '!T10</f>
        <v>30000000</v>
      </c>
      <c r="S53" s="81">
        <f>R53+'6) Capital '!U10</f>
        <v>30000000</v>
      </c>
      <c r="T53" s="81">
        <f>S53+'6) Capital '!V10</f>
        <v>30000000</v>
      </c>
      <c r="U53" s="81">
        <f>T53+'6) Capital '!W10</f>
        <v>30000000</v>
      </c>
      <c r="V53" s="81">
        <f>U53+'6) Capital '!X10</f>
        <v>30000000</v>
      </c>
      <c r="W53" s="81">
        <f>V53+'6) Capital '!Y10</f>
        <v>30000000</v>
      </c>
      <c r="X53" s="81">
        <f>W53+'6) Capital '!Z10</f>
        <v>30000000</v>
      </c>
      <c r="Y53" s="81">
        <f>X53+'6) Capital '!AA10</f>
        <v>30000000</v>
      </c>
      <c r="Z53" s="81">
        <f>Y53+'6) Capital '!AB10</f>
        <v>30000000</v>
      </c>
      <c r="AA53" s="81">
        <f>Z53+'6) Capital '!AC10</f>
        <v>30000000</v>
      </c>
      <c r="AB53" s="81">
        <f>AA53+'6) Capital '!AD10</f>
        <v>30000000</v>
      </c>
      <c r="AC53" s="81">
        <f>AB53+'6) Capital '!AE10</f>
        <v>30000000</v>
      </c>
      <c r="AD53" s="81">
        <f>AC53+'6) Capital '!AF10</f>
        <v>30000000</v>
      </c>
      <c r="AE53" s="81">
        <f>AD53+'6) Capital '!AG10</f>
        <v>30000000</v>
      </c>
      <c r="AF53" s="81">
        <f>AE53+'6) Capital '!AH10</f>
        <v>30000000</v>
      </c>
      <c r="AG53" s="81">
        <f>AF53+'6) Capital '!AI10</f>
        <v>30000000</v>
      </c>
      <c r="AH53" s="81">
        <f>AG53+'6) Capital '!AJ10</f>
        <v>30000000</v>
      </c>
      <c r="AI53" s="81">
        <f>AH53+'6) Capital '!AK10</f>
        <v>30000000</v>
      </c>
      <c r="AJ53" s="81">
        <f>AI53+'6) Capital '!AL10</f>
        <v>30000000</v>
      </c>
      <c r="AK53" s="81">
        <f>AJ53+'6) Capital '!AM10</f>
        <v>30000000</v>
      </c>
      <c r="AL53" s="81">
        <f>AK53+'6) Capital '!AN10</f>
        <v>30000000</v>
      </c>
      <c r="AM53" s="81">
        <f>AL53+'6) Capital '!AO10</f>
        <v>30000000</v>
      </c>
      <c r="AN53" s="81">
        <f>AM53+'6) Capital '!AP10</f>
        <v>30000000</v>
      </c>
      <c r="AO53" s="81">
        <f>AN53+'6) Capital '!AQ10</f>
        <v>30000000</v>
      </c>
      <c r="AP53" s="81">
        <f>AO53+'6) Capital '!AR10</f>
        <v>30000000</v>
      </c>
      <c r="AQ53" s="81">
        <f>AP53+'6) Capital '!AS10</f>
        <v>30000000</v>
      </c>
      <c r="AR53" s="81">
        <f>AQ53+'6) Capital '!AT10</f>
        <v>30000000</v>
      </c>
      <c r="AS53" s="81">
        <f>AR53+'6) Capital '!AU10</f>
        <v>30000000</v>
      </c>
      <c r="AT53" s="81">
        <f>AS53+'6) Capital '!AV10</f>
        <v>30000000</v>
      </c>
      <c r="AU53" s="81">
        <f>AT53+'6) Capital '!AW10</f>
        <v>30000000</v>
      </c>
      <c r="AV53" s="81">
        <f>AU53+'6) Capital '!AX10</f>
        <v>30000000</v>
      </c>
      <c r="AW53" s="81">
        <f>AV53+'6) Capital '!AY10</f>
        <v>30000000</v>
      </c>
      <c r="AX53" s="81">
        <f>AW53+'6) Capital '!AZ10</f>
        <v>30000000</v>
      </c>
      <c r="AY53" s="81">
        <f>AX53+'6) Capital '!BA10</f>
        <v>30000000</v>
      </c>
      <c r="AZ53" s="81">
        <f>AY53+'6) Capital '!BB10</f>
        <v>30000000</v>
      </c>
      <c r="BA53" s="81">
        <f>AZ53+'6) Capital '!BC10</f>
        <v>30000000</v>
      </c>
      <c r="BB53" s="81">
        <f>BA53+'6) Capital '!BD10</f>
        <v>30000000</v>
      </c>
      <c r="BC53" s="81">
        <f>BB53+'6) Capital '!BE10</f>
        <v>30000000</v>
      </c>
      <c r="BD53" s="81">
        <f>BC53+'6) Capital '!BF10</f>
        <v>30000000</v>
      </c>
      <c r="BE53" s="81">
        <f>BD53+'6) Capital '!BG10</f>
        <v>30000000</v>
      </c>
      <c r="BF53" s="81">
        <f>BE53+'6) Capital '!BH10</f>
        <v>30000000</v>
      </c>
      <c r="BG53" s="81">
        <f>BF53+'6) Capital '!BI10</f>
        <v>30000000</v>
      </c>
      <c r="BH53" s="81">
        <f>BG53+'6) Capital '!BJ10</f>
        <v>30000000</v>
      </c>
      <c r="BI53" s="81">
        <f>BH53+'6) Capital '!BK10</f>
        <v>30000000</v>
      </c>
      <c r="BJ53" s="81">
        <f>BI53+'6) Capital '!BL10</f>
        <v>30000000</v>
      </c>
      <c r="BK53" s="81">
        <f>BJ53+'6) Capital '!BM10</f>
        <v>30000000</v>
      </c>
      <c r="BL53" s="258"/>
      <c r="BM53" s="258"/>
      <c r="BN53" s="258"/>
      <c r="BO53" s="258"/>
      <c r="BP53" s="258"/>
    </row>
    <row r="54" spans="1:68" s="215" customFormat="1" ht="14" customHeight="1">
      <c r="A54" s="259"/>
      <c r="B54" s="259" t="s">
        <v>38</v>
      </c>
      <c r="C54" s="81">
        <f>'8) Opening Balance Sheet'!C24</f>
        <v>0</v>
      </c>
      <c r="D54" s="81">
        <f>'Income Statement'!C68</f>
        <v>-341666.66666666663</v>
      </c>
      <c r="E54" s="81">
        <f>'Income Statement'!D68</f>
        <v>-652958.33333333326</v>
      </c>
      <c r="F54" s="81">
        <f>'Income Statement'!E68</f>
        <v>-931596.87499999988</v>
      </c>
      <c r="G54" s="81">
        <f>'Income Statement'!F68</f>
        <v>-1175133.3072916665</v>
      </c>
      <c r="H54" s="81">
        <f>'Income Statement'!G68</f>
        <v>-1380934.9720052083</v>
      </c>
      <c r="I54" s="81">
        <f>'Income Statement'!H68</f>
        <v>-1546171.7615722655</v>
      </c>
      <c r="J54" s="81">
        <f>'Income Statement'!I68</f>
        <v>-1667801.3103568521</v>
      </c>
      <c r="K54" s="81">
        <f>'Income Statement'!J68</f>
        <v>-1742553.0753002828</v>
      </c>
      <c r="L54" s="81">
        <f>'Income Statement'!K68</f>
        <v>-1766911.2226144709</v>
      </c>
      <c r="M54" s="81">
        <f>'Income Statement'!L68</f>
        <v>-1737096.230977223</v>
      </c>
      <c r="N54" s="81">
        <f>'Income Statement'!M68</f>
        <v>-1649045.1149671816</v>
      </c>
      <c r="O54" s="81">
        <f>'Income Statement'!N68</f>
        <v>-1498390.1652563871</v>
      </c>
      <c r="P54" s="81">
        <f>'Income Statement'!O68</f>
        <v>-1648561.0943172832</v>
      </c>
      <c r="Q54" s="81">
        <f>'Income Statement'!P68</f>
        <v>-1726385.4680577465</v>
      </c>
      <c r="R54" s="81">
        <f>'Income Statement'!Q68</f>
        <v>-1726437.2948287448</v>
      </c>
      <c r="S54" s="81">
        <f>'Income Statement'!R68</f>
        <v>-1661014.7780925632</v>
      </c>
      <c r="T54" s="81">
        <f>'Income Statement'!S68</f>
        <v>-1525219.431976168</v>
      </c>
      <c r="U54" s="81">
        <f>'Income Statement'!T68</f>
        <v>-1313773.2942760433</v>
      </c>
      <c r="V54" s="81">
        <f>'Income Statement'!U68</f>
        <v>-1021002.5556234091</v>
      </c>
      <c r="W54" s="81">
        <f>'Income Statement'!V68</f>
        <v>-640807.87094682758</v>
      </c>
      <c r="X54" s="81">
        <f>'Income Statement'!W68</f>
        <v>-166632.44429450255</v>
      </c>
      <c r="Y54" s="81">
        <f>'Income Statement'!X68</f>
        <v>408572.2799817471</v>
      </c>
      <c r="Z54" s="81">
        <f>'Income Statement'!Y68</f>
        <v>1092383.4992037155</v>
      </c>
      <c r="AA54" s="81">
        <f>'Income Statement'!Z68</f>
        <v>1892946.7004923315</v>
      </c>
      <c r="AB54" s="81">
        <f>'Income Statement'!AA68</f>
        <v>2276668.438752593</v>
      </c>
      <c r="AC54" s="81">
        <f>'Income Statement'!AB68</f>
        <v>2795311.6862886241</v>
      </c>
      <c r="AD54" s="81">
        <f>'Income Statement'!AC68</f>
        <v>3458995.5562961074</v>
      </c>
      <c r="AE54" s="81">
        <f>'Income Statement'!AD68</f>
        <v>4278598.0954604028</v>
      </c>
      <c r="AF54" s="81">
        <f>'Income Statement'!AE68</f>
        <v>5265813.2039682698</v>
      </c>
      <c r="AG54" s="81">
        <f>'Income Statement'!AF68</f>
        <v>6433211.8245204762</v>
      </c>
      <c r="AH54" s="81">
        <f>'Income Statement'!AG68</f>
        <v>7794307.7205203492</v>
      </c>
      <c r="AI54" s="81">
        <f>'Income Statement'!AH68</f>
        <v>9363628.1876264624</v>
      </c>
      <c r="AJ54" s="81">
        <f>'Income Statement'!AI68</f>
        <v>11156790.068671783</v>
      </c>
      <c r="AK54" s="81">
        <f>'Income Statement'!AJ68</f>
        <v>13190581.469701754</v>
      </c>
      <c r="AL54" s="81">
        <f>'Income Statement'!AK68</f>
        <v>15483049.604715221</v>
      </c>
      <c r="AM54" s="81">
        <f>'Income Statement'!AL68</f>
        <v>18053595.22876095</v>
      </c>
      <c r="AN54" s="81">
        <f>'Income Statement'!AM68</f>
        <v>19884712.161328856</v>
      </c>
      <c r="AO54" s="81">
        <f>'Income Statement'!AN68</f>
        <v>22037182.392159667</v>
      </c>
      <c r="AP54" s="81">
        <f>'Income Statement'!AO68</f>
        <v>24535107.418623101</v>
      </c>
      <c r="AQ54" s="81">
        <f>'Income Statement'!AP68</f>
        <v>27404396.350391604</v>
      </c>
      <c r="AR54" s="81">
        <f>'Income Statement'!AQ68</f>
        <v>30672901.48036306</v>
      </c>
      <c r="AS54" s="81">
        <f>'Income Statement'!AR68</f>
        <v>34370564.023402683</v>
      </c>
      <c r="AT54" s="81">
        <f>'Income Statement'!AS68</f>
        <v>38529570.785490595</v>
      </c>
      <c r="AU54" s="81">
        <f>'Income Statement'!AT68</f>
        <v>43184522.583055407</v>
      </c>
      <c r="AV54" s="81">
        <f>'Income Statement'!AU68</f>
        <v>48372615.293757901</v>
      </c>
      <c r="AW54" s="81">
        <f>'Income Statement'!AV68</f>
        <v>54133834.486083388</v>
      </c>
      <c r="AX54" s="81">
        <f>'Income Statement'!AW68</f>
        <v>60511164.646153599</v>
      </c>
      <c r="AY54" s="81">
        <f>'Income Statement'!AX68</f>
        <v>67550814.096549392</v>
      </c>
      <c r="AZ54" s="81">
        <f>'Income Statement'!AY68</f>
        <v>73290077.9656858</v>
      </c>
      <c r="BA54" s="81">
        <f>'Income Statement'!AZ68</f>
        <v>79794734.564704701</v>
      </c>
      <c r="BB54" s="81">
        <f>'Income Statement'!BA68</f>
        <v>87122188.348347291</v>
      </c>
      <c r="BC54" s="81">
        <f>'Income Statement'!BB68</f>
        <v>95334149.105460346</v>
      </c>
      <c r="BD54" s="81">
        <f>'Income Statement'!BC68</f>
        <v>104496954.85905415</v>
      </c>
      <c r="BE54" s="81">
        <f>'Income Statement'!BD68</f>
        <v>114681918.98386474</v>
      </c>
      <c r="BF54" s="81">
        <f>'Income Statement'!BE68</f>
        <v>125965703.3577334</v>
      </c>
      <c r="BG54" s="81">
        <f>'Income Statement'!BF68</f>
        <v>138430719.49933946</v>
      </c>
      <c r="BH54" s="81">
        <f>'Income Statement'!BG68</f>
        <v>152165559.79126325</v>
      </c>
      <c r="BI54" s="81">
        <f>'Income Statement'!BH68</f>
        <v>167265461.04477859</v>
      </c>
      <c r="BJ54" s="81">
        <f>'Income Statement'!BI68</f>
        <v>183832802.83200485</v>
      </c>
      <c r="BK54" s="81">
        <f>'Income Statement'!BJ68</f>
        <v>201977643.19297034</v>
      </c>
      <c r="BL54" s="258"/>
      <c r="BM54" s="258"/>
      <c r="BN54" s="258"/>
      <c r="BO54" s="258"/>
      <c r="BP54" s="258"/>
    </row>
    <row r="55" spans="1:68" s="215" customFormat="1" ht="14" customHeight="1">
      <c r="A55" s="201" t="s">
        <v>39</v>
      </c>
      <c r="B55" s="201"/>
      <c r="C55" s="202">
        <f t="shared" ref="C55:AH55" si="10">SUM(C53:C54)</f>
        <v>0</v>
      </c>
      <c r="D55" s="202">
        <f t="shared" si="10"/>
        <v>29658333.333333332</v>
      </c>
      <c r="E55" s="202">
        <f t="shared" si="10"/>
        <v>29347041.666666668</v>
      </c>
      <c r="F55" s="202">
        <f t="shared" si="10"/>
        <v>29068403.125</v>
      </c>
      <c r="G55" s="202">
        <f t="shared" si="10"/>
        <v>28824866.692708332</v>
      </c>
      <c r="H55" s="202">
        <f t="shared" si="10"/>
        <v>28619065.027994793</v>
      </c>
      <c r="I55" s="202">
        <f t="shared" si="10"/>
        <v>28453828.238427736</v>
      </c>
      <c r="J55" s="202">
        <f t="shared" si="10"/>
        <v>28332198.689643148</v>
      </c>
      <c r="K55" s="202">
        <f t="shared" si="10"/>
        <v>28257446.924699716</v>
      </c>
      <c r="L55" s="202">
        <f t="shared" si="10"/>
        <v>28233088.777385529</v>
      </c>
      <c r="M55" s="202">
        <f t="shared" si="10"/>
        <v>28262903.769022778</v>
      </c>
      <c r="N55" s="202">
        <f t="shared" si="10"/>
        <v>28350954.885032818</v>
      </c>
      <c r="O55" s="202">
        <f t="shared" si="10"/>
        <v>28501609.834743612</v>
      </c>
      <c r="P55" s="261">
        <f t="shared" si="10"/>
        <v>28351438.905682717</v>
      </c>
      <c r="Q55" s="261">
        <f t="shared" si="10"/>
        <v>28273614.531942252</v>
      </c>
      <c r="R55" s="202">
        <f t="shared" si="10"/>
        <v>28273562.705171254</v>
      </c>
      <c r="S55" s="202">
        <f t="shared" si="10"/>
        <v>28338985.221907437</v>
      </c>
      <c r="T55" s="202">
        <f t="shared" si="10"/>
        <v>28474780.568023831</v>
      </c>
      <c r="U55" s="202">
        <f t="shared" si="10"/>
        <v>28686226.705723956</v>
      </c>
      <c r="V55" s="202">
        <f t="shared" si="10"/>
        <v>28978997.444376592</v>
      </c>
      <c r="W55" s="202">
        <f t="shared" si="10"/>
        <v>29359192.129053172</v>
      </c>
      <c r="X55" s="202">
        <f t="shared" si="10"/>
        <v>29833367.555705499</v>
      </c>
      <c r="Y55" s="202">
        <f t="shared" si="10"/>
        <v>30408572.279981747</v>
      </c>
      <c r="Z55" s="202">
        <f t="shared" si="10"/>
        <v>31092383.499203715</v>
      </c>
      <c r="AA55" s="202">
        <f t="shared" si="10"/>
        <v>31892946.70049233</v>
      </c>
      <c r="AB55" s="202">
        <f t="shared" si="10"/>
        <v>32276668.438752592</v>
      </c>
      <c r="AC55" s="202">
        <f t="shared" si="10"/>
        <v>32795311.686288625</v>
      </c>
      <c r="AD55" s="202">
        <f t="shared" si="10"/>
        <v>33458995.556296106</v>
      </c>
      <c r="AE55" s="202">
        <f t="shared" si="10"/>
        <v>34278598.0954604</v>
      </c>
      <c r="AF55" s="202">
        <f t="shared" si="10"/>
        <v>35265813.203968272</v>
      </c>
      <c r="AG55" s="202">
        <f t="shared" si="10"/>
        <v>36433211.824520476</v>
      </c>
      <c r="AH55" s="202">
        <f t="shared" si="10"/>
        <v>37794307.720520347</v>
      </c>
      <c r="AI55" s="202">
        <f t="shared" ref="AI55:BK55" si="11">SUM(AI53:AI54)</f>
        <v>39363628.187626466</v>
      </c>
      <c r="AJ55" s="202">
        <f t="shared" si="11"/>
        <v>41156790.068671785</v>
      </c>
      <c r="AK55" s="202">
        <f t="shared" si="11"/>
        <v>43190581.469701752</v>
      </c>
      <c r="AL55" s="202">
        <f t="shared" si="11"/>
        <v>45483049.604715221</v>
      </c>
      <c r="AM55" s="202">
        <f t="shared" si="11"/>
        <v>48053595.22876095</v>
      </c>
      <c r="AN55" s="202">
        <f t="shared" si="11"/>
        <v>49884712.161328852</v>
      </c>
      <c r="AO55" s="202">
        <f t="shared" si="11"/>
        <v>52037182.392159671</v>
      </c>
      <c r="AP55" s="202">
        <f t="shared" si="11"/>
        <v>54535107.418623105</v>
      </c>
      <c r="AQ55" s="202">
        <f t="shared" si="11"/>
        <v>57404396.350391604</v>
      </c>
      <c r="AR55" s="202">
        <f t="shared" si="11"/>
        <v>60672901.480363056</v>
      </c>
      <c r="AS55" s="202">
        <f t="shared" si="11"/>
        <v>64370564.023402683</v>
      </c>
      <c r="AT55" s="202">
        <f t="shared" si="11"/>
        <v>68529570.785490602</v>
      </c>
      <c r="AU55" s="202">
        <f t="shared" si="11"/>
        <v>73184522.583055407</v>
      </c>
      <c r="AV55" s="202">
        <f t="shared" si="11"/>
        <v>78372615.293757901</v>
      </c>
      <c r="AW55" s="202">
        <f t="shared" si="11"/>
        <v>84133834.486083388</v>
      </c>
      <c r="AX55" s="202">
        <f t="shared" si="11"/>
        <v>90511164.646153599</v>
      </c>
      <c r="AY55" s="202">
        <f t="shared" si="11"/>
        <v>97550814.096549392</v>
      </c>
      <c r="AZ55" s="202">
        <f t="shared" si="11"/>
        <v>103290077.9656858</v>
      </c>
      <c r="BA55" s="202">
        <f t="shared" si="11"/>
        <v>109794734.5647047</v>
      </c>
      <c r="BB55" s="202">
        <f t="shared" si="11"/>
        <v>117122188.34834729</v>
      </c>
      <c r="BC55" s="202">
        <f t="shared" si="11"/>
        <v>125334149.10546035</v>
      </c>
      <c r="BD55" s="202">
        <f t="shared" si="11"/>
        <v>134496954.85905415</v>
      </c>
      <c r="BE55" s="202">
        <f t="shared" si="11"/>
        <v>144681918.98386472</v>
      </c>
      <c r="BF55" s="202">
        <f t="shared" si="11"/>
        <v>155965703.3577334</v>
      </c>
      <c r="BG55" s="202">
        <f t="shared" si="11"/>
        <v>168430719.49933946</v>
      </c>
      <c r="BH55" s="202">
        <f t="shared" si="11"/>
        <v>182165559.79126325</v>
      </c>
      <c r="BI55" s="202">
        <f t="shared" si="11"/>
        <v>197265461.04477859</v>
      </c>
      <c r="BJ55" s="202">
        <f t="shared" si="11"/>
        <v>213832802.83200485</v>
      </c>
      <c r="BK55" s="202">
        <f t="shared" si="11"/>
        <v>231977643.19297034</v>
      </c>
      <c r="BL55" s="258"/>
      <c r="BM55" s="258"/>
      <c r="BN55" s="258"/>
      <c r="BO55" s="258"/>
      <c r="BP55" s="258"/>
    </row>
    <row r="56" spans="1:68" s="215" customFormat="1" ht="14" customHeight="1" thickBot="1">
      <c r="A56" s="89" t="s">
        <v>188</v>
      </c>
      <c r="B56" s="255"/>
      <c r="C56" s="90">
        <f t="shared" ref="C56:AH56" si="12">C55+C51</f>
        <v>0</v>
      </c>
      <c r="D56" s="90">
        <f t="shared" si="12"/>
        <v>30167349.726775955</v>
      </c>
      <c r="E56" s="90">
        <f t="shared" si="12"/>
        <v>29856058.060109291</v>
      </c>
      <c r="F56" s="90">
        <f t="shared" si="12"/>
        <v>29577419.518442623</v>
      </c>
      <c r="G56" s="90">
        <f t="shared" si="12"/>
        <v>29333883.086150955</v>
      </c>
      <c r="H56" s="90">
        <f t="shared" si="12"/>
        <v>29128081.421437416</v>
      </c>
      <c r="I56" s="90">
        <f t="shared" si="12"/>
        <v>28962844.631870359</v>
      </c>
      <c r="J56" s="90">
        <f t="shared" si="12"/>
        <v>28841215.083085772</v>
      </c>
      <c r="K56" s="90">
        <f t="shared" si="12"/>
        <v>28766463.31814234</v>
      </c>
      <c r="L56" s="90">
        <f t="shared" si="12"/>
        <v>28742105.170828152</v>
      </c>
      <c r="M56" s="90">
        <f t="shared" si="12"/>
        <v>28771920.162465401</v>
      </c>
      <c r="N56" s="90">
        <f t="shared" si="12"/>
        <v>28859971.278475441</v>
      </c>
      <c r="O56" s="90">
        <f t="shared" si="12"/>
        <v>29010626.228186235</v>
      </c>
      <c r="P56" s="90">
        <f t="shared" si="12"/>
        <v>29222545.463059764</v>
      </c>
      <c r="Q56" s="90">
        <f t="shared" si="12"/>
        <v>29144721.0893193</v>
      </c>
      <c r="R56" s="90">
        <f t="shared" si="12"/>
        <v>29144669.262548301</v>
      </c>
      <c r="S56" s="90">
        <f t="shared" si="12"/>
        <v>29210091.779284485</v>
      </c>
      <c r="T56" s="90">
        <f t="shared" si="12"/>
        <v>29345887.125400878</v>
      </c>
      <c r="U56" s="90">
        <f t="shared" si="12"/>
        <v>29557333.263101004</v>
      </c>
      <c r="V56" s="90">
        <f t="shared" si="12"/>
        <v>29850104.001753639</v>
      </c>
      <c r="W56" s="90">
        <f t="shared" si="12"/>
        <v>30230298.68643022</v>
      </c>
      <c r="X56" s="90">
        <f t="shared" si="12"/>
        <v>30704474.113082547</v>
      </c>
      <c r="Y56" s="90">
        <f t="shared" si="12"/>
        <v>31279678.837358795</v>
      </c>
      <c r="Z56" s="90">
        <f t="shared" si="12"/>
        <v>31963490.056580763</v>
      </c>
      <c r="AA56" s="90">
        <f t="shared" si="12"/>
        <v>32764053.257869378</v>
      </c>
      <c r="AB56" s="90">
        <f t="shared" si="12"/>
        <v>33829076.225637838</v>
      </c>
      <c r="AC56" s="90">
        <f t="shared" si="12"/>
        <v>34347719.473173872</v>
      </c>
      <c r="AD56" s="90">
        <f t="shared" si="12"/>
        <v>35011403.343181349</v>
      </c>
      <c r="AE56" s="90">
        <f t="shared" si="12"/>
        <v>35831005.882345647</v>
      </c>
      <c r="AF56" s="90">
        <f t="shared" si="12"/>
        <v>36818220.990853518</v>
      </c>
      <c r="AG56" s="90">
        <f t="shared" si="12"/>
        <v>37985619.611405723</v>
      </c>
      <c r="AH56" s="90">
        <f t="shared" si="12"/>
        <v>39346715.507405594</v>
      </c>
      <c r="AI56" s="90">
        <f t="shared" ref="AI56:BK56" si="13">AI55+AI51</f>
        <v>40916035.974511713</v>
      </c>
      <c r="AJ56" s="90">
        <f t="shared" si="13"/>
        <v>42709197.855557032</v>
      </c>
      <c r="AK56" s="90">
        <f t="shared" si="13"/>
        <v>44742989.256586999</v>
      </c>
      <c r="AL56" s="90">
        <f t="shared" si="13"/>
        <v>47035457.391600467</v>
      </c>
      <c r="AM56" s="90">
        <f t="shared" si="13"/>
        <v>49606003.015646197</v>
      </c>
      <c r="AN56" s="90">
        <f t="shared" si="13"/>
        <v>52741512.878541969</v>
      </c>
      <c r="AO56" s="90">
        <f t="shared" si="13"/>
        <v>54893983.109372787</v>
      </c>
      <c r="AP56" s="90">
        <f t="shared" si="13"/>
        <v>57391908.135836221</v>
      </c>
      <c r="AQ56" s="90">
        <f t="shared" si="13"/>
        <v>60261197.067604721</v>
      </c>
      <c r="AR56" s="90">
        <f t="shared" si="13"/>
        <v>63529702.197576173</v>
      </c>
      <c r="AS56" s="90">
        <f t="shared" si="13"/>
        <v>67227364.7406158</v>
      </c>
      <c r="AT56" s="90">
        <f t="shared" si="13"/>
        <v>71386371.502703711</v>
      </c>
      <c r="AU56" s="90">
        <f t="shared" si="13"/>
        <v>76041323.300268516</v>
      </c>
      <c r="AV56" s="90">
        <f t="shared" si="13"/>
        <v>81229416.01097101</v>
      </c>
      <c r="AW56" s="90">
        <f t="shared" si="13"/>
        <v>86990635.203296497</v>
      </c>
      <c r="AX56" s="90">
        <f t="shared" si="13"/>
        <v>93367965.363366708</v>
      </c>
      <c r="AY56" s="90">
        <f t="shared" si="13"/>
        <v>100407614.8137625</v>
      </c>
      <c r="AZ56" s="90">
        <f t="shared" si="13"/>
        <v>108674833.98515302</v>
      </c>
      <c r="BA56" s="90">
        <f t="shared" si="13"/>
        <v>115179490.58417192</v>
      </c>
      <c r="BB56" s="90">
        <f t="shared" si="13"/>
        <v>122506944.36781451</v>
      </c>
      <c r="BC56" s="90">
        <f t="shared" si="13"/>
        <v>130718905.12492757</v>
      </c>
      <c r="BD56" s="90">
        <f t="shared" si="13"/>
        <v>139881710.87852135</v>
      </c>
      <c r="BE56" s="90">
        <f t="shared" si="13"/>
        <v>150066675.00333193</v>
      </c>
      <c r="BF56" s="90">
        <f t="shared" si="13"/>
        <v>161350459.3772006</v>
      </c>
      <c r="BG56" s="90">
        <f t="shared" si="13"/>
        <v>173815475.51880667</v>
      </c>
      <c r="BH56" s="90">
        <f t="shared" si="13"/>
        <v>187550315.81073046</v>
      </c>
      <c r="BI56" s="90">
        <f t="shared" si="13"/>
        <v>202650217.06424579</v>
      </c>
      <c r="BJ56" s="90">
        <f t="shared" si="13"/>
        <v>219217558.85147205</v>
      </c>
      <c r="BK56" s="90">
        <f t="shared" si="13"/>
        <v>237362399.21243754</v>
      </c>
      <c r="BL56" s="258"/>
      <c r="BM56" s="258"/>
      <c r="BN56" s="258"/>
      <c r="BO56" s="258"/>
      <c r="BP56" s="258"/>
    </row>
    <row r="57" spans="1:68" s="6" customFormat="1" ht="1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BL57" s="10"/>
      <c r="BM57" s="10"/>
      <c r="BN57" s="10"/>
      <c r="BO57" s="10"/>
      <c r="BP57" s="10"/>
    </row>
    <row r="58" spans="1:68" s="6" customFormat="1" ht="14">
      <c r="A58" s="411" t="s">
        <v>270</v>
      </c>
      <c r="B58" s="412"/>
      <c r="C58" s="413">
        <f t="shared" ref="C58:AH58" si="14">ROUNDDOWN(C44-C56,0)</f>
        <v>0</v>
      </c>
      <c r="D58" s="413">
        <f t="shared" si="14"/>
        <v>0</v>
      </c>
      <c r="E58" s="413">
        <f t="shared" si="14"/>
        <v>0</v>
      </c>
      <c r="F58" s="413">
        <f t="shared" si="14"/>
        <v>0</v>
      </c>
      <c r="G58" s="413">
        <f t="shared" si="14"/>
        <v>0</v>
      </c>
      <c r="H58" s="413">
        <f t="shared" si="14"/>
        <v>0</v>
      </c>
      <c r="I58" s="413">
        <f t="shared" si="14"/>
        <v>0</v>
      </c>
      <c r="J58" s="413">
        <f t="shared" si="14"/>
        <v>0</v>
      </c>
      <c r="K58" s="413">
        <f t="shared" si="14"/>
        <v>0</v>
      </c>
      <c r="L58" s="413">
        <f t="shared" si="14"/>
        <v>0</v>
      </c>
      <c r="M58" s="413">
        <f t="shared" si="14"/>
        <v>0</v>
      </c>
      <c r="N58" s="413">
        <f t="shared" si="14"/>
        <v>0</v>
      </c>
      <c r="O58" s="413">
        <f t="shared" si="14"/>
        <v>0</v>
      </c>
      <c r="P58" s="413">
        <f t="shared" si="14"/>
        <v>0</v>
      </c>
      <c r="Q58" s="413">
        <f t="shared" si="14"/>
        <v>0</v>
      </c>
      <c r="R58" s="413">
        <f t="shared" si="14"/>
        <v>0</v>
      </c>
      <c r="S58" s="413">
        <f t="shared" si="14"/>
        <v>0</v>
      </c>
      <c r="T58" s="413">
        <f t="shared" si="14"/>
        <v>0</v>
      </c>
      <c r="U58" s="413">
        <f t="shared" si="14"/>
        <v>0</v>
      </c>
      <c r="V58" s="413">
        <f t="shared" si="14"/>
        <v>0</v>
      </c>
      <c r="W58" s="413">
        <f t="shared" si="14"/>
        <v>0</v>
      </c>
      <c r="X58" s="413">
        <f t="shared" si="14"/>
        <v>0</v>
      </c>
      <c r="Y58" s="413">
        <f t="shared" si="14"/>
        <v>0</v>
      </c>
      <c r="Z58" s="413">
        <f t="shared" si="14"/>
        <v>0</v>
      </c>
      <c r="AA58" s="413">
        <f t="shared" si="14"/>
        <v>0</v>
      </c>
      <c r="AB58" s="413">
        <f t="shared" si="14"/>
        <v>0</v>
      </c>
      <c r="AC58" s="413">
        <f t="shared" si="14"/>
        <v>0</v>
      </c>
      <c r="AD58" s="413">
        <f t="shared" si="14"/>
        <v>0</v>
      </c>
      <c r="AE58" s="413">
        <f t="shared" si="14"/>
        <v>0</v>
      </c>
      <c r="AF58" s="413">
        <f t="shared" si="14"/>
        <v>0</v>
      </c>
      <c r="AG58" s="413">
        <f t="shared" si="14"/>
        <v>0</v>
      </c>
      <c r="AH58" s="413">
        <f t="shared" si="14"/>
        <v>0</v>
      </c>
      <c r="AI58" s="413">
        <f t="shared" ref="AI58:BK58" si="15">ROUNDDOWN(AI44-AI56,0)</f>
        <v>0</v>
      </c>
      <c r="AJ58" s="413">
        <f t="shared" si="15"/>
        <v>0</v>
      </c>
      <c r="AK58" s="413">
        <f t="shared" si="15"/>
        <v>0</v>
      </c>
      <c r="AL58" s="413">
        <f t="shared" si="15"/>
        <v>0</v>
      </c>
      <c r="AM58" s="413">
        <f t="shared" si="15"/>
        <v>0</v>
      </c>
      <c r="AN58" s="413">
        <f t="shared" si="15"/>
        <v>0</v>
      </c>
      <c r="AO58" s="413">
        <f t="shared" si="15"/>
        <v>0</v>
      </c>
      <c r="AP58" s="413">
        <f t="shared" si="15"/>
        <v>0</v>
      </c>
      <c r="AQ58" s="413">
        <f t="shared" si="15"/>
        <v>0</v>
      </c>
      <c r="AR58" s="413">
        <f t="shared" si="15"/>
        <v>0</v>
      </c>
      <c r="AS58" s="413">
        <f t="shared" si="15"/>
        <v>0</v>
      </c>
      <c r="AT58" s="413">
        <f t="shared" si="15"/>
        <v>0</v>
      </c>
      <c r="AU58" s="413">
        <f t="shared" si="15"/>
        <v>0</v>
      </c>
      <c r="AV58" s="413">
        <f t="shared" si="15"/>
        <v>0</v>
      </c>
      <c r="AW58" s="413">
        <f t="shared" si="15"/>
        <v>0</v>
      </c>
      <c r="AX58" s="413">
        <f t="shared" si="15"/>
        <v>0</v>
      </c>
      <c r="AY58" s="413">
        <f t="shared" si="15"/>
        <v>0</v>
      </c>
      <c r="AZ58" s="413">
        <f t="shared" si="15"/>
        <v>0</v>
      </c>
      <c r="BA58" s="413">
        <f t="shared" si="15"/>
        <v>0</v>
      </c>
      <c r="BB58" s="413">
        <f t="shared" si="15"/>
        <v>0</v>
      </c>
      <c r="BC58" s="413">
        <f t="shared" si="15"/>
        <v>0</v>
      </c>
      <c r="BD58" s="413">
        <f t="shared" si="15"/>
        <v>0</v>
      </c>
      <c r="BE58" s="413">
        <f t="shared" si="15"/>
        <v>0</v>
      </c>
      <c r="BF58" s="413">
        <f t="shared" si="15"/>
        <v>0</v>
      </c>
      <c r="BG58" s="413">
        <f t="shared" si="15"/>
        <v>0</v>
      </c>
      <c r="BH58" s="413">
        <f t="shared" si="15"/>
        <v>0</v>
      </c>
      <c r="BI58" s="413">
        <f t="shared" si="15"/>
        <v>0</v>
      </c>
      <c r="BJ58" s="413">
        <f t="shared" si="15"/>
        <v>0</v>
      </c>
      <c r="BK58" s="413">
        <f t="shared" si="15"/>
        <v>0</v>
      </c>
    </row>
  </sheetData>
  <mergeCells count="5">
    <mergeCell ref="D33:O33"/>
    <mergeCell ref="P33:AA33"/>
    <mergeCell ref="AB33:AM33"/>
    <mergeCell ref="AN33:AY33"/>
    <mergeCell ref="AZ33:BK33"/>
  </mergeCells>
  <phoneticPr fontId="5" type="noConversion"/>
  <conditionalFormatting sqref="D28:H28">
    <cfRule type="cellIs" dxfId="8" priority="7" operator="lessThan">
      <formula>0</formula>
    </cfRule>
    <cfRule type="cellIs" dxfId="7" priority="8" operator="greaterThan">
      <formula>0</formula>
    </cfRule>
    <cfRule type="cellIs" dxfId="6" priority="9" operator="equal">
      <formula>0</formula>
    </cfRule>
  </conditionalFormatting>
  <conditionalFormatting sqref="C58:BK58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equal">
      <formula>0</formula>
    </cfRule>
  </conditionalFormatting>
  <conditionalFormatting sqref="C28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BJ56"/>
  <sheetViews>
    <sheetView showGridLines="0" zoomScaleNormal="100" workbookViewId="0"/>
  </sheetViews>
  <sheetFormatPr baseColWidth="10" defaultColWidth="9.1640625" defaultRowHeight="13"/>
  <cols>
    <col min="1" max="1" width="3" style="1" customWidth="1"/>
    <col min="2" max="2" width="40.6640625" style="1" customWidth="1"/>
    <col min="3" max="3" width="12" style="1" bestFit="1" customWidth="1"/>
    <col min="4" max="6" width="10.6640625" style="1" bestFit="1" customWidth="1"/>
    <col min="7" max="7" width="11" style="1" bestFit="1" customWidth="1"/>
    <col min="8" max="8" width="10.33203125" style="1" bestFit="1" customWidth="1"/>
    <col min="9" max="9" width="13.5" style="1" bestFit="1" customWidth="1"/>
    <col min="10" max="10" width="10.33203125" style="1" bestFit="1" customWidth="1"/>
    <col min="11" max="13" width="11.1640625" style="1" bestFit="1" customWidth="1"/>
    <col min="14" max="14" width="12.1640625" style="1" bestFit="1" customWidth="1"/>
    <col min="15" max="16384" width="9.1640625" style="1"/>
  </cols>
  <sheetData>
    <row r="1" spans="1:14" s="150" customFormat="1" ht="14" customHeight="1">
      <c r="A1" s="262" t="s">
        <v>93</v>
      </c>
      <c r="B1" s="148"/>
      <c r="C1" s="148"/>
      <c r="D1" s="148"/>
      <c r="E1" s="148"/>
      <c r="F1" s="148"/>
      <c r="G1" s="148"/>
    </row>
    <row r="2" spans="1:14" ht="14" customHeight="1">
      <c r="A2" s="76" t="str">
        <f>"(expressed in "&amp;'2) Assumptions'!D6&amp;")"</f>
        <v>(expressed in Euro (€))</v>
      </c>
      <c r="B2" s="94"/>
      <c r="C2" s="94"/>
      <c r="D2" s="94"/>
      <c r="E2" s="94"/>
      <c r="F2" s="94"/>
      <c r="G2" s="94"/>
    </row>
    <row r="3" spans="1:14" ht="14" customHeight="1">
      <c r="A3" s="77" t="str">
        <f>"For the years ended"&amp;" "&amp;TEXT(EOMONTH('2) Assumptions'!D5,11),"mmmm dd")&amp;","</f>
        <v>For the years ended December 31,</v>
      </c>
      <c r="B3" s="94"/>
      <c r="C3" s="94"/>
      <c r="D3" s="94"/>
      <c r="E3" s="94"/>
      <c r="F3" s="94"/>
      <c r="G3" s="94"/>
    </row>
    <row r="4" spans="1:14" ht="14" customHeight="1">
      <c r="A4" s="78"/>
      <c r="B4" s="78"/>
      <c r="C4" s="79">
        <f>EDATE('2) Assumptions'!$D$5,11)</f>
        <v>45261</v>
      </c>
      <c r="D4" s="79">
        <f>EDATE('2) Assumptions'!$D$5,23)</f>
        <v>45627</v>
      </c>
      <c r="E4" s="79">
        <f>EDATE('2) Assumptions'!$D$5,35)</f>
        <v>45992</v>
      </c>
      <c r="F4" s="79">
        <f>EDATE('2) Assumptions'!$D$5,47)</f>
        <v>46357</v>
      </c>
      <c r="G4" s="79">
        <f>EDATE('2) Assumptions'!$D$5,59)</f>
        <v>46722</v>
      </c>
    </row>
    <row r="5" spans="1:14" ht="14" customHeight="1">
      <c r="A5" s="188" t="s">
        <v>40</v>
      </c>
      <c r="B5" s="187"/>
      <c r="C5" s="203"/>
      <c r="D5" s="204"/>
      <c r="E5" s="204"/>
      <c r="F5" s="204"/>
      <c r="G5" s="204"/>
    </row>
    <row r="6" spans="1:14" ht="14" customHeight="1">
      <c r="A6" s="188" t="s">
        <v>41</v>
      </c>
      <c r="B6" s="187"/>
      <c r="C6" s="205"/>
      <c r="D6" s="206"/>
      <c r="E6" s="206"/>
      <c r="F6" s="206"/>
      <c r="G6" s="206"/>
    </row>
    <row r="7" spans="1:14" ht="14" customHeight="1">
      <c r="A7" s="187" t="s">
        <v>33</v>
      </c>
      <c r="B7" s="187"/>
      <c r="C7" s="207">
        <f>SUM('Cash Flow'!C36:N36)</f>
        <v>-1498390.1652563871</v>
      </c>
      <c r="D7" s="207">
        <f>SUM('Cash Flow'!O36:Z36)</f>
        <v>3391336.8657487184</v>
      </c>
      <c r="E7" s="207">
        <f>SUM('Cash Flow'!AA36:AL36)</f>
        <v>16160648.528268619</v>
      </c>
      <c r="F7" s="207">
        <f>SUM('Cash Flow'!AM36:AX36)</f>
        <v>49497218.867788449</v>
      </c>
      <c r="G7" s="207">
        <f>SUM('Cash Flow'!AY36:BJ36)</f>
        <v>134426829.09642094</v>
      </c>
      <c r="I7" s="161"/>
      <c r="J7" s="162">
        <f>C4</f>
        <v>45261</v>
      </c>
      <c r="K7" s="162">
        <f>D4</f>
        <v>45627</v>
      </c>
      <c r="L7" s="162">
        <f>E4</f>
        <v>45992</v>
      </c>
      <c r="M7" s="162">
        <f>F4</f>
        <v>46357</v>
      </c>
      <c r="N7" s="162">
        <f>G4</f>
        <v>46722</v>
      </c>
    </row>
    <row r="8" spans="1:14" ht="14" customHeight="1">
      <c r="A8" s="187" t="s">
        <v>42</v>
      </c>
      <c r="B8" s="187"/>
      <c r="C8" s="208"/>
      <c r="D8" s="208"/>
      <c r="E8" s="208"/>
      <c r="F8" s="208"/>
      <c r="G8" s="208"/>
      <c r="I8" s="1" t="s">
        <v>191</v>
      </c>
      <c r="J8" s="118">
        <f>C25</f>
        <v>5681061.6970071578</v>
      </c>
      <c r="K8" s="118">
        <f t="shared" ref="K8:N8" si="0">D25</f>
        <v>5011706.7846671874</v>
      </c>
      <c r="L8" s="118">
        <f t="shared" si="0"/>
        <v>16039000.910742853</v>
      </c>
      <c r="M8" s="118">
        <f t="shared" si="0"/>
        <v>45089270.71786578</v>
      </c>
      <c r="N8" s="118">
        <f t="shared" si="0"/>
        <v>119549353.05372961</v>
      </c>
    </row>
    <row r="9" spans="1:14" ht="14" customHeight="1">
      <c r="A9" s="187"/>
      <c r="B9" s="187" t="s">
        <v>84</v>
      </c>
      <c r="C9" s="207">
        <f>SUM('Cash Flow'!C38:N38)</f>
        <v>2750000</v>
      </c>
      <c r="D9" s="207">
        <f>SUM('Cash Flow'!O38:Z38)</f>
        <v>2750000</v>
      </c>
      <c r="E9" s="207">
        <f>SUM('Cash Flow'!AA38:AL38)</f>
        <v>2750000</v>
      </c>
      <c r="F9" s="207">
        <f>SUM('Cash Flow'!AM38:AX38)</f>
        <v>2750000</v>
      </c>
      <c r="G9" s="207">
        <f>SUM('Cash Flow'!AY38:BJ38)</f>
        <v>2750000</v>
      </c>
      <c r="I9" s="161" t="s">
        <v>197</v>
      </c>
      <c r="J9" s="163">
        <f>C27</f>
        <v>5681061.6970071578</v>
      </c>
      <c r="K9" s="163">
        <f>D27</f>
        <v>10692768.481674347</v>
      </c>
      <c r="L9" s="163">
        <f>E27</f>
        <v>26731769.3924172</v>
      </c>
      <c r="M9" s="163">
        <f>F27</f>
        <v>71821040.110282972</v>
      </c>
      <c r="N9" s="163">
        <f>G27</f>
        <v>191370393.16401258</v>
      </c>
    </row>
    <row r="10" spans="1:14" ht="14" customHeight="1">
      <c r="A10" s="187"/>
      <c r="B10" s="187" t="s">
        <v>60</v>
      </c>
      <c r="C10" s="207">
        <f>SUM('Cash Flow'!C39:N39)</f>
        <v>-980679.36216115975</v>
      </c>
      <c r="D10" s="207">
        <f>SUM('Cash Flow'!O39:Z39)</f>
        <v>-1355082.735820703</v>
      </c>
      <c r="E10" s="207">
        <f>SUM('Cash Flow'!AA39:AL39)</f>
        <v>-3227508.4151708949</v>
      </c>
      <c r="F10" s="207">
        <f>SUM('Cash Flow'!AM39:AX39)</f>
        <v>-7687213.6989406906</v>
      </c>
      <c r="G10" s="207">
        <f>SUM('Cash Flow'!AY39:BJ39)</f>
        <v>-18309248.761494696</v>
      </c>
    </row>
    <row r="11" spans="1:14" ht="14" customHeight="1">
      <c r="A11" s="187"/>
      <c r="B11" s="187" t="s">
        <v>61</v>
      </c>
      <c r="C11" s="207">
        <f>SUM('Cash Flow'!C40:N40)</f>
        <v>-49033.968108057983</v>
      </c>
      <c r="D11" s="207">
        <f>SUM('Cash Flow'!O40:Z40)</f>
        <v>-67754.136791035155</v>
      </c>
      <c r="E11" s="207">
        <f>SUM('Cash Flow'!AA40:AL40)</f>
        <v>-161375.4207585447</v>
      </c>
      <c r="F11" s="207">
        <f>SUM('Cash Flow'!AM40:AX40)</f>
        <v>-384360.68494703458</v>
      </c>
      <c r="G11" s="207">
        <f>SUM('Cash Flow'!AY40:BJ40)</f>
        <v>-915462.43807473511</v>
      </c>
    </row>
    <row r="12" spans="1:14" ht="14" customHeight="1">
      <c r="A12" s="187"/>
      <c r="B12" s="187" t="s">
        <v>62</v>
      </c>
      <c r="C12" s="207">
        <f>SUM('Cash Flow'!C41:N41)</f>
        <v>-49851.200909858955</v>
      </c>
      <c r="D12" s="207">
        <f>SUM('Cash Flow'!O41:Z41)</f>
        <v>-68883.372404219088</v>
      </c>
      <c r="E12" s="207">
        <f>SUM('Cash Flow'!AA41:AL41)</f>
        <v>-164065.01110452047</v>
      </c>
      <c r="F12" s="207">
        <f>SUM('Cash Flow'!AM41:AX41)</f>
        <v>-390766.69636281853</v>
      </c>
      <c r="G12" s="207">
        <f>SUM('Cash Flow'!AY41:BJ41)</f>
        <v>-930720.14537598041</v>
      </c>
    </row>
    <row r="13" spans="1:14" ht="14" customHeight="1">
      <c r="A13" s="187"/>
      <c r="B13" s="187" t="s">
        <v>64</v>
      </c>
      <c r="C13" s="207">
        <f>SUM('Cash Flow'!C42:N42)</f>
        <v>509016.39344262297</v>
      </c>
      <c r="D13" s="207">
        <f>SUM('Cash Flow'!O42:Z42)</f>
        <v>362090.16393442615</v>
      </c>
      <c r="E13" s="207">
        <f>SUM('Cash Flow'!AA42:AL42)</f>
        <v>681301.22950819682</v>
      </c>
      <c r="F13" s="207">
        <f>SUM('Cash Flow'!AM42:AX42)</f>
        <v>1304392.9303278688</v>
      </c>
      <c r="G13" s="207">
        <f>SUM('Cash Flow'!AY42:BJ42)</f>
        <v>2527955.3022540985</v>
      </c>
    </row>
    <row r="14" spans="1:14" ht="14" customHeight="1">
      <c r="A14" s="201"/>
      <c r="B14" s="201"/>
      <c r="C14" s="209">
        <f>SUM('Cash Flow'!C43:N43)</f>
        <v>681061.69700715912</v>
      </c>
      <c r="D14" s="209">
        <f>SUM('Cash Flow'!O43:Z43)</f>
        <v>5011706.7846671874</v>
      </c>
      <c r="E14" s="209">
        <f>SUM('Cash Flow'!AA43:AL43)</f>
        <v>16039000.910742853</v>
      </c>
      <c r="F14" s="209">
        <f>SUM('Cash Flow'!AM43:AX43)</f>
        <v>45089270.71786578</v>
      </c>
      <c r="G14" s="209">
        <f>SUM('Cash Flow'!AY43:BJ43)</f>
        <v>119549353.05372961</v>
      </c>
    </row>
    <row r="15" spans="1:14" ht="14" customHeight="1">
      <c r="A15" s="198" t="s">
        <v>43</v>
      </c>
      <c r="B15" s="199"/>
      <c r="C15" s="210"/>
      <c r="D15" s="210"/>
      <c r="E15" s="210"/>
      <c r="F15" s="210"/>
      <c r="G15" s="210"/>
    </row>
    <row r="16" spans="1:14" ht="14" customHeight="1">
      <c r="A16" s="187"/>
      <c r="B16" s="187" t="s">
        <v>44</v>
      </c>
      <c r="C16" s="211">
        <f>SUM('Cash Flow'!C45:N45)</f>
        <v>0</v>
      </c>
      <c r="D16" s="211">
        <f>SUM('Cash Flow'!O45:Z45)</f>
        <v>0</v>
      </c>
      <c r="E16" s="211">
        <f>SUM('Cash Flow'!AA45:AL45)</f>
        <v>0</v>
      </c>
      <c r="F16" s="211">
        <f>SUM('Cash Flow'!AM45:AX45)</f>
        <v>0</v>
      </c>
      <c r="G16" s="211">
        <f>SUM('Cash Flow'!AY45:BJ45)</f>
        <v>0</v>
      </c>
    </row>
    <row r="17" spans="1:62" ht="14" customHeight="1">
      <c r="A17" s="187"/>
      <c r="B17" s="187" t="s">
        <v>45</v>
      </c>
      <c r="C17" s="211">
        <f>SUM('Cash Flow'!C46:N46)</f>
        <v>30000000</v>
      </c>
      <c r="D17" s="211">
        <f>SUM('Cash Flow'!O46:Z46)</f>
        <v>0</v>
      </c>
      <c r="E17" s="211">
        <f>SUM('Cash Flow'!AA46:AL46)</f>
        <v>0</v>
      </c>
      <c r="F17" s="211">
        <f>SUM('Cash Flow'!AM46:AX46)</f>
        <v>0</v>
      </c>
      <c r="G17" s="211">
        <f>SUM('Cash Flow'!AY46:BJ46)</f>
        <v>0</v>
      </c>
    </row>
    <row r="18" spans="1:62" ht="14" customHeight="1">
      <c r="A18" s="187"/>
      <c r="B18" s="187" t="s">
        <v>46</v>
      </c>
      <c r="C18" s="211">
        <f>SUM('Cash Flow'!C47:N47)</f>
        <v>0</v>
      </c>
      <c r="D18" s="211">
        <f>SUM('Cash Flow'!O47:Z47)</f>
        <v>0</v>
      </c>
      <c r="E18" s="211">
        <f>SUM('Cash Flow'!AA47:AL47)</f>
        <v>0</v>
      </c>
      <c r="F18" s="211">
        <f>SUM('Cash Flow'!AM47:AX47)</f>
        <v>0</v>
      </c>
      <c r="G18" s="211">
        <f>SUM('Cash Flow'!AY47:BJ47)</f>
        <v>0</v>
      </c>
    </row>
    <row r="19" spans="1:62" ht="14" customHeight="1">
      <c r="A19" s="187"/>
      <c r="B19" s="187" t="s">
        <v>186</v>
      </c>
      <c r="C19" s="211">
        <f>SUM('Cash Flow'!C48:N48)</f>
        <v>0</v>
      </c>
      <c r="D19" s="211">
        <f>SUM('Cash Flow'!O48:Z48)</f>
        <v>0</v>
      </c>
      <c r="E19" s="211">
        <f>SUM('Cash Flow'!AA48:AL48)</f>
        <v>0</v>
      </c>
      <c r="F19" s="211">
        <f>SUM('Cash Flow'!AM48:AX48)</f>
        <v>0</v>
      </c>
      <c r="G19" s="211">
        <f>SUM('Cash Flow'!AY48:BJ48)</f>
        <v>0</v>
      </c>
    </row>
    <row r="20" spans="1:62" ht="14" customHeight="1">
      <c r="A20" s="201"/>
      <c r="B20" s="201"/>
      <c r="C20" s="202">
        <f>SUM('Cash Flow'!C49:N49)</f>
        <v>30000000</v>
      </c>
      <c r="D20" s="202">
        <f>SUM('Cash Flow'!O49:Z49)</f>
        <v>0</v>
      </c>
      <c r="E20" s="202">
        <f>SUM('Cash Flow'!AA49:AL49)</f>
        <v>0</v>
      </c>
      <c r="F20" s="202">
        <f>SUM('Cash Flow'!AM49:AX49)</f>
        <v>0</v>
      </c>
      <c r="G20" s="202">
        <f>SUM('Cash Flow'!AY49:BJ49)</f>
        <v>0</v>
      </c>
    </row>
    <row r="21" spans="1:62" ht="14" customHeight="1">
      <c r="A21" s="198" t="s">
        <v>63</v>
      </c>
      <c r="B21" s="199"/>
      <c r="C21" s="210"/>
      <c r="D21" s="210"/>
      <c r="E21" s="210"/>
      <c r="F21" s="210"/>
      <c r="G21" s="210"/>
    </row>
    <row r="22" spans="1:62" ht="14" customHeight="1">
      <c r="A22" s="187"/>
      <c r="B22" s="187" t="s">
        <v>47</v>
      </c>
      <c r="C22" s="212">
        <f>SUM('Cash Flow'!C51:N51)</f>
        <v>-25000000</v>
      </c>
      <c r="D22" s="212">
        <f>SUM('Cash Flow'!O51:Z51)</f>
        <v>0</v>
      </c>
      <c r="E22" s="212">
        <f>SUM('Cash Flow'!AA51:AL51)</f>
        <v>0</v>
      </c>
      <c r="F22" s="212">
        <f>SUM('Cash Flow'!AM51:AX51)</f>
        <v>0</v>
      </c>
      <c r="G22" s="212">
        <f>SUM('Cash Flow'!AY51:BJ51)</f>
        <v>0</v>
      </c>
    </row>
    <row r="23" spans="1:62" ht="14" customHeight="1">
      <c r="A23" s="201"/>
      <c r="B23" s="201"/>
      <c r="C23" s="202">
        <f>SUM('Cash Flow'!C52:N52)</f>
        <v>-25000000</v>
      </c>
      <c r="D23" s="202">
        <f>SUM('Cash Flow'!O52:Z52)</f>
        <v>0</v>
      </c>
      <c r="E23" s="202">
        <f>SUM('Cash Flow'!AA52:AL52)</f>
        <v>0</v>
      </c>
      <c r="F23" s="202">
        <f>SUM('Cash Flow'!AM52:AX52)</f>
        <v>0</v>
      </c>
      <c r="G23" s="202">
        <f>SUM('Cash Flow'!AY52:BJ52)</f>
        <v>0</v>
      </c>
    </row>
    <row r="24" spans="1:62" ht="14" customHeight="1">
      <c r="A24" s="187"/>
      <c r="B24" s="187"/>
      <c r="C24" s="210"/>
      <c r="D24" s="210"/>
      <c r="E24" s="210"/>
      <c r="F24" s="210"/>
      <c r="G24" s="210"/>
    </row>
    <row r="25" spans="1:62" ht="14" customHeight="1">
      <c r="A25" s="187"/>
      <c r="B25" s="187" t="s">
        <v>48</v>
      </c>
      <c r="C25" s="213">
        <f>SUM('Cash Flow'!C54:N54)</f>
        <v>5681061.6970071578</v>
      </c>
      <c r="D25" s="213">
        <f>SUM('Cash Flow'!O54:Z54)</f>
        <v>5011706.7846671874</v>
      </c>
      <c r="E25" s="213">
        <f>SUM('Cash Flow'!AA54:AL54)</f>
        <v>16039000.910742853</v>
      </c>
      <c r="F25" s="213">
        <f>SUM('Cash Flow'!AM54:AX54)</f>
        <v>45089270.71786578</v>
      </c>
      <c r="G25" s="213">
        <f>SUM('Cash Flow'!AY54:BJ54)</f>
        <v>119549353.05372961</v>
      </c>
      <c r="I25" s="145"/>
    </row>
    <row r="26" spans="1:62" ht="14" customHeight="1">
      <c r="A26" s="187"/>
      <c r="B26" s="187" t="s">
        <v>49</v>
      </c>
      <c r="C26" s="211">
        <f>'Cash Flow'!C55</f>
        <v>0</v>
      </c>
      <c r="D26" s="211">
        <f>'Cash Flow'!N56</f>
        <v>5681061.6970071578</v>
      </c>
      <c r="E26" s="211">
        <f>'Cash Flow'!Z56</f>
        <v>10692768.481674347</v>
      </c>
      <c r="F26" s="211">
        <f>'Cash Flow'!AL56</f>
        <v>26731769.3924172</v>
      </c>
      <c r="G26" s="211">
        <f>'Cash Flow'!AX56</f>
        <v>71821040.110282972</v>
      </c>
    </row>
    <row r="27" spans="1:62" ht="14" customHeight="1" thickBot="1">
      <c r="A27" s="194"/>
      <c r="B27" s="193" t="s">
        <v>50</v>
      </c>
      <c r="C27" s="214">
        <f>SUM('Cash Flow'!N56)</f>
        <v>5681061.6970071578</v>
      </c>
      <c r="D27" s="214">
        <f>'Cash Flow'!Z56</f>
        <v>10692768.481674347</v>
      </c>
      <c r="E27" s="214">
        <f>'Cash Flow'!AL56</f>
        <v>26731769.3924172</v>
      </c>
      <c r="F27" s="214">
        <f>SUM('Cash Flow'!AX56)</f>
        <v>71821040.110282972</v>
      </c>
      <c r="G27" s="214">
        <f>SUM('Cash Flow'!BJ56)</f>
        <v>191370393.16401258</v>
      </c>
    </row>
    <row r="28" spans="1:62">
      <c r="A28" s="4"/>
      <c r="C28" s="146"/>
      <c r="D28" s="67"/>
      <c r="E28" s="67"/>
      <c r="F28" s="67"/>
      <c r="G28" s="67"/>
    </row>
    <row r="29" spans="1:62" s="224" customFormat="1" ht="14" customHeight="1">
      <c r="A29" s="262" t="s">
        <v>93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1:62" s="224" customFormat="1" ht="14" customHeight="1">
      <c r="A30" s="76" t="str">
        <f>"(expressed in "&amp;'2) Assumptions'!D6&amp;")"</f>
        <v>(expressed in Euro (€))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62" s="224" customFormat="1" ht="14" customHeight="1">
      <c r="A31" s="77" t="str">
        <f>"For the years ended"&amp;" "&amp;TEXT(EOMONTH('2) Assumptions'!D5,11),"mmmm dd")&amp;","</f>
        <v>For the years ended December 31,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1:62" s="226" customFormat="1" ht="14" customHeight="1">
      <c r="A32" s="225"/>
      <c r="B32" s="225"/>
      <c r="C32" s="545">
        <f>EDATE('2) Assumptions'!$D$5,11)</f>
        <v>45261</v>
      </c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217">
        <f>EDATE('2) Assumptions'!$D$5,23)</f>
        <v>45627</v>
      </c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>
        <f>EDATE('2) Assumptions'!$D$5,35)</f>
        <v>45992</v>
      </c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>
        <f>EDATE('2) Assumptions'!$D$5,47)</f>
        <v>46357</v>
      </c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>
        <f>EDATE('2) Assumptions'!$D$5,59)</f>
        <v>46722</v>
      </c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</row>
    <row r="33" spans="1:62" s="226" customFormat="1" ht="14" customHeight="1">
      <c r="A33" s="227"/>
      <c r="B33" s="227"/>
      <c r="C33" s="227">
        <f>EDATE('2) Assumptions'!$D$5,0)</f>
        <v>44927</v>
      </c>
      <c r="D33" s="227">
        <f>EDATE('2) Assumptions'!$D$5,1)</f>
        <v>44958</v>
      </c>
      <c r="E33" s="227">
        <f>EDATE('2) Assumptions'!$D$5,2)</f>
        <v>44986</v>
      </c>
      <c r="F33" s="227">
        <f>EDATE('2) Assumptions'!$D$5,3)</f>
        <v>45017</v>
      </c>
      <c r="G33" s="227">
        <f>EDATE('2) Assumptions'!$D$5,4)</f>
        <v>45047</v>
      </c>
      <c r="H33" s="227">
        <f>EDATE('2) Assumptions'!$D$5,5)</f>
        <v>45078</v>
      </c>
      <c r="I33" s="227">
        <f>EDATE('2) Assumptions'!$D$5,6)</f>
        <v>45108</v>
      </c>
      <c r="J33" s="227">
        <f>EDATE('2) Assumptions'!$D$5,7)</f>
        <v>45139</v>
      </c>
      <c r="K33" s="227">
        <f>EDATE('2) Assumptions'!$D$5,8)</f>
        <v>45170</v>
      </c>
      <c r="L33" s="227">
        <f>EDATE('2) Assumptions'!$D$5,9)</f>
        <v>45200</v>
      </c>
      <c r="M33" s="227">
        <f>EDATE('2) Assumptions'!$D$5,10)</f>
        <v>45231</v>
      </c>
      <c r="N33" s="227">
        <f>EDATE('2) Assumptions'!$D$5,11)</f>
        <v>45261</v>
      </c>
      <c r="O33" s="227">
        <f>EDATE('2) Assumptions'!$D$5,0)</f>
        <v>44927</v>
      </c>
      <c r="P33" s="227">
        <f>EDATE('2) Assumptions'!$D$5,1)</f>
        <v>44958</v>
      </c>
      <c r="Q33" s="227">
        <f>EDATE('2) Assumptions'!$D$5,2)</f>
        <v>44986</v>
      </c>
      <c r="R33" s="227">
        <f>EDATE('2) Assumptions'!$D$5,3)</f>
        <v>45017</v>
      </c>
      <c r="S33" s="227">
        <f>EDATE('2) Assumptions'!$D$5,4)</f>
        <v>45047</v>
      </c>
      <c r="T33" s="227">
        <f>EDATE('2) Assumptions'!$D$5,5)</f>
        <v>45078</v>
      </c>
      <c r="U33" s="227">
        <f>EDATE('2) Assumptions'!$D$5,6)</f>
        <v>45108</v>
      </c>
      <c r="V33" s="227">
        <f>EDATE('2) Assumptions'!$D$5,7)</f>
        <v>45139</v>
      </c>
      <c r="W33" s="227">
        <f>EDATE('2) Assumptions'!$D$5,8)</f>
        <v>45170</v>
      </c>
      <c r="X33" s="227">
        <f>EDATE('2) Assumptions'!$D$5,9)</f>
        <v>45200</v>
      </c>
      <c r="Y33" s="227">
        <f>EDATE('2) Assumptions'!$D$5,10)</f>
        <v>45231</v>
      </c>
      <c r="Z33" s="227">
        <f>EDATE('2) Assumptions'!$D$5,11)</f>
        <v>45261</v>
      </c>
      <c r="AA33" s="227">
        <f>EDATE('2) Assumptions'!$D$5,0)</f>
        <v>44927</v>
      </c>
      <c r="AB33" s="227">
        <f>EDATE('2) Assumptions'!$D$5,1)</f>
        <v>44958</v>
      </c>
      <c r="AC33" s="227">
        <f>EDATE('2) Assumptions'!$D$5,2)</f>
        <v>44986</v>
      </c>
      <c r="AD33" s="227">
        <f>EDATE('2) Assumptions'!$D$5,3)</f>
        <v>45017</v>
      </c>
      <c r="AE33" s="227">
        <f>EDATE('2) Assumptions'!$D$5,4)</f>
        <v>45047</v>
      </c>
      <c r="AF33" s="227">
        <f>EDATE('2) Assumptions'!$D$5,5)</f>
        <v>45078</v>
      </c>
      <c r="AG33" s="227">
        <f>EDATE('2) Assumptions'!$D$5,6)</f>
        <v>45108</v>
      </c>
      <c r="AH33" s="227">
        <f>EDATE('2) Assumptions'!$D$5,7)</f>
        <v>45139</v>
      </c>
      <c r="AI33" s="227">
        <f>EDATE('2) Assumptions'!$D$5,8)</f>
        <v>45170</v>
      </c>
      <c r="AJ33" s="227">
        <f>EDATE('2) Assumptions'!$D$5,9)</f>
        <v>45200</v>
      </c>
      <c r="AK33" s="227">
        <f>EDATE('2) Assumptions'!$D$5,10)</f>
        <v>45231</v>
      </c>
      <c r="AL33" s="227">
        <f>EDATE('2) Assumptions'!$D$5,11)</f>
        <v>45261</v>
      </c>
      <c r="AM33" s="227">
        <f>EDATE('2) Assumptions'!$D$5,0)</f>
        <v>44927</v>
      </c>
      <c r="AN33" s="227">
        <f>EDATE('2) Assumptions'!$D$5,1)</f>
        <v>44958</v>
      </c>
      <c r="AO33" s="227">
        <f>EDATE('2) Assumptions'!$D$5,2)</f>
        <v>44986</v>
      </c>
      <c r="AP33" s="227">
        <f>EDATE('2) Assumptions'!$D$5,3)</f>
        <v>45017</v>
      </c>
      <c r="AQ33" s="227">
        <f>EDATE('2) Assumptions'!$D$5,4)</f>
        <v>45047</v>
      </c>
      <c r="AR33" s="227">
        <f>EDATE('2) Assumptions'!$D$5,5)</f>
        <v>45078</v>
      </c>
      <c r="AS33" s="227">
        <f>EDATE('2) Assumptions'!$D$5,6)</f>
        <v>45108</v>
      </c>
      <c r="AT33" s="227">
        <f>EDATE('2) Assumptions'!$D$5,7)</f>
        <v>45139</v>
      </c>
      <c r="AU33" s="227">
        <f>EDATE('2) Assumptions'!$D$5,8)</f>
        <v>45170</v>
      </c>
      <c r="AV33" s="227">
        <f>EDATE('2) Assumptions'!$D$5,9)</f>
        <v>45200</v>
      </c>
      <c r="AW33" s="227">
        <f>EDATE('2) Assumptions'!$D$5,10)</f>
        <v>45231</v>
      </c>
      <c r="AX33" s="227">
        <f>EDATE('2) Assumptions'!$D$5,11)</f>
        <v>45261</v>
      </c>
      <c r="AY33" s="227">
        <f>EDATE('2) Assumptions'!$D$5,0)</f>
        <v>44927</v>
      </c>
      <c r="AZ33" s="227">
        <f>EDATE('2) Assumptions'!$D$5,1)</f>
        <v>44958</v>
      </c>
      <c r="BA33" s="227">
        <f>EDATE('2) Assumptions'!$D$5,2)</f>
        <v>44986</v>
      </c>
      <c r="BB33" s="227">
        <f>EDATE('2) Assumptions'!$D$5,3)</f>
        <v>45017</v>
      </c>
      <c r="BC33" s="227">
        <f>EDATE('2) Assumptions'!$D$5,4)</f>
        <v>45047</v>
      </c>
      <c r="BD33" s="227">
        <f>EDATE('2) Assumptions'!$D$5,5)</f>
        <v>45078</v>
      </c>
      <c r="BE33" s="227">
        <f>EDATE('2) Assumptions'!$D$5,6)</f>
        <v>45108</v>
      </c>
      <c r="BF33" s="227">
        <f>EDATE('2) Assumptions'!$D$5,7)</f>
        <v>45139</v>
      </c>
      <c r="BG33" s="227">
        <f>EDATE('2) Assumptions'!$D$5,8)</f>
        <v>45170</v>
      </c>
      <c r="BH33" s="227">
        <f>EDATE('2) Assumptions'!$D$5,9)</f>
        <v>45200</v>
      </c>
      <c r="BI33" s="227">
        <f>EDATE('2) Assumptions'!$D$5,10)</f>
        <v>45231</v>
      </c>
      <c r="BJ33" s="227">
        <f>EDATE('2) Assumptions'!$D$5,11)</f>
        <v>45261</v>
      </c>
    </row>
    <row r="34" spans="1:62" s="228" customFormat="1" ht="14" customHeight="1">
      <c r="A34" s="188" t="s">
        <v>40</v>
      </c>
      <c r="B34" s="187"/>
      <c r="C34" s="203"/>
      <c r="D34" s="240"/>
      <c r="E34" s="203"/>
      <c r="F34" s="203"/>
      <c r="G34" s="203"/>
    </row>
    <row r="35" spans="1:62" s="228" customFormat="1" ht="14" customHeight="1">
      <c r="A35" s="188" t="s">
        <v>41</v>
      </c>
      <c r="B35" s="187"/>
      <c r="C35" s="203"/>
      <c r="D35" s="240"/>
      <c r="E35" s="203"/>
      <c r="F35" s="203"/>
      <c r="G35" s="203"/>
    </row>
    <row r="36" spans="1:62" s="228" customFormat="1" ht="14" customHeight="1">
      <c r="A36" s="187" t="s">
        <v>33</v>
      </c>
      <c r="B36" s="187"/>
      <c r="C36" s="241">
        <f>'Income Statement'!C64</f>
        <v>-341666.66666666663</v>
      </c>
      <c r="D36" s="241">
        <f>'Income Statement'!D64</f>
        <v>-311291.66666666663</v>
      </c>
      <c r="E36" s="241">
        <f>'Income Statement'!E64</f>
        <v>-278638.54166666663</v>
      </c>
      <c r="F36" s="241">
        <f>'Income Statement'!F64</f>
        <v>-243536.43229166666</v>
      </c>
      <c r="G36" s="241">
        <f>'Income Statement'!G64</f>
        <v>-205801.66471354166</v>
      </c>
      <c r="H36" s="241">
        <f>'Income Statement'!H64</f>
        <v>-165236.78956705731</v>
      </c>
      <c r="I36" s="241">
        <f>'Income Statement'!I64</f>
        <v>-121629.54878458651</v>
      </c>
      <c r="J36" s="241">
        <f>'Income Statement'!J64</f>
        <v>-74751.764943430695</v>
      </c>
      <c r="K36" s="241">
        <f>'Income Statement'!K64</f>
        <v>-24358.1473141881</v>
      </c>
      <c r="L36" s="241">
        <f>'Income Statement'!L64</f>
        <v>29814.991637247818</v>
      </c>
      <c r="M36" s="241">
        <f>'Income Statement'!M64</f>
        <v>88051.116010041413</v>
      </c>
      <c r="N36" s="241">
        <f>'Income Statement'!N64</f>
        <v>150654.94971079458</v>
      </c>
      <c r="O36" s="241">
        <f>'Income Statement'!O64</f>
        <v>-150170.92906089607</v>
      </c>
      <c r="P36" s="241">
        <f>'Income Statement'!P64</f>
        <v>-77824.373740463314</v>
      </c>
      <c r="Q36" s="241">
        <f>'Income Statement'!Q64</f>
        <v>-51.826770998217398</v>
      </c>
      <c r="R36" s="241">
        <f>'Income Statement'!R64</f>
        <v>65422.516736181729</v>
      </c>
      <c r="S36" s="241">
        <f>'Income Statement'!S64</f>
        <v>135795.34611639526</v>
      </c>
      <c r="T36" s="241">
        <f>'Income Statement'!T64</f>
        <v>211446.1377001247</v>
      </c>
      <c r="U36" s="241">
        <f>'Income Statement'!U64</f>
        <v>292770.7386526342</v>
      </c>
      <c r="V36" s="241">
        <f>'Income Statement'!V64</f>
        <v>380194.68467658153</v>
      </c>
      <c r="W36" s="241">
        <f>'Income Statement'!W64</f>
        <v>474175.42665232503</v>
      </c>
      <c r="X36" s="241">
        <f>'Income Statement'!X64</f>
        <v>575204.72427624965</v>
      </c>
      <c r="Y36" s="241">
        <f>'Income Statement'!Y64</f>
        <v>683811.21922196832</v>
      </c>
      <c r="Z36" s="241">
        <f>'Income Statement'!Z64</f>
        <v>800563.20128861605</v>
      </c>
      <c r="AA36" s="241">
        <f>'Income Statement'!AA64</f>
        <v>383721.7382602616</v>
      </c>
      <c r="AB36" s="241">
        <f>'Income Statement'!AB64</f>
        <v>518643.2475360313</v>
      </c>
      <c r="AC36" s="241">
        <f>'Income Statement'!AC64</f>
        <v>663683.87000748329</v>
      </c>
      <c r="AD36" s="241">
        <f>'Income Statement'!AD64</f>
        <v>819602.53916429507</v>
      </c>
      <c r="AE36" s="241">
        <f>'Income Statement'!AE64</f>
        <v>987215.10850786685</v>
      </c>
      <c r="AF36" s="241">
        <f>'Income Statement'!AF64</f>
        <v>1167398.6205522064</v>
      </c>
      <c r="AG36" s="241">
        <f>'Income Statement'!AG64</f>
        <v>1361095.8959998726</v>
      </c>
      <c r="AH36" s="241">
        <f>'Income Statement'!AH64</f>
        <v>1569320.4671061123</v>
      </c>
      <c r="AI36" s="241">
        <f>'Income Statement'!AI64</f>
        <v>1793161.8810453215</v>
      </c>
      <c r="AJ36" s="241">
        <f>'Income Statement'!AJ64</f>
        <v>2033791.40102997</v>
      </c>
      <c r="AK36" s="241">
        <f>'Income Statement'!AK64</f>
        <v>2292468.1350134676</v>
      </c>
      <c r="AL36" s="241">
        <f>'Income Statement'!AL64</f>
        <v>2570545.6240457278</v>
      </c>
      <c r="AM36" s="241">
        <f>'Income Statement'!AM64</f>
        <v>1831116.9325679066</v>
      </c>
      <c r="AN36" s="241">
        <f>'Income Statement'!AN64</f>
        <v>2152470.2308308119</v>
      </c>
      <c r="AO36" s="241">
        <f>'Income Statement'!AO64</f>
        <v>2497925.026463435</v>
      </c>
      <c r="AP36" s="241">
        <f>'Income Statement'!AP64</f>
        <v>2869288.9317685049</v>
      </c>
      <c r="AQ36" s="241">
        <f>'Income Statement'!AQ64</f>
        <v>3268505.1299714549</v>
      </c>
      <c r="AR36" s="241">
        <f>'Income Statement'!AR64</f>
        <v>3697662.5430396264</v>
      </c>
      <c r="AS36" s="241">
        <f>'Income Statement'!AS64</f>
        <v>4159006.7620879123</v>
      </c>
      <c r="AT36" s="241">
        <f>'Income Statement'!AT64</f>
        <v>4654951.7975648157</v>
      </c>
      <c r="AU36" s="241">
        <f>'Income Statement'!AU64</f>
        <v>5188092.7107024901</v>
      </c>
      <c r="AV36" s="241">
        <f>'Income Statement'!AV64</f>
        <v>5761219.1923254877</v>
      </c>
      <c r="AW36" s="241">
        <f>'Income Statement'!AW64</f>
        <v>6377330.1600702126</v>
      </c>
      <c r="AX36" s="241">
        <f>'Income Statement'!AX64</f>
        <v>7039649.4503957909</v>
      </c>
      <c r="AY36" s="241">
        <f>'Income Statement'!AY64</f>
        <v>5739263.8691364136</v>
      </c>
      <c r="AZ36" s="241">
        <f>'Income Statement'!AZ64</f>
        <v>6504656.5990189072</v>
      </c>
      <c r="BA36" s="241">
        <f>'Income Statement'!BA64</f>
        <v>7327453.783642591</v>
      </c>
      <c r="BB36" s="241">
        <f>'Income Statement'!BB64</f>
        <v>8211960.7571130544</v>
      </c>
      <c r="BC36" s="241">
        <f>'Income Statement'!BC64</f>
        <v>9162805.753593795</v>
      </c>
      <c r="BD36" s="241">
        <f>'Income Statement'!BD64</f>
        <v>10184964.124810595</v>
      </c>
      <c r="BE36" s="241">
        <f>'Income Statement'!BE64</f>
        <v>11283784.373868654</v>
      </c>
      <c r="BF36" s="241">
        <f>'Income Statement'!BF64</f>
        <v>12465016.14160607</v>
      </c>
      <c r="BG36" s="241">
        <f>'Income Statement'!BG64</f>
        <v>13734840.291923787</v>
      </c>
      <c r="BH36" s="241">
        <f>'Income Statement'!BH64</f>
        <v>15099901.253515333</v>
      </c>
      <c r="BI36" s="241">
        <f>'Income Statement'!BI64</f>
        <v>16567341.787226252</v>
      </c>
      <c r="BJ36" s="241">
        <f>'Income Statement'!BJ64</f>
        <v>18144840.360965483</v>
      </c>
    </row>
    <row r="37" spans="1:62" s="228" customFormat="1" ht="14" customHeight="1">
      <c r="A37" s="187" t="s">
        <v>42</v>
      </c>
      <c r="B37" s="187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</row>
    <row r="38" spans="1:62" s="228" customFormat="1" ht="14" customHeight="1">
      <c r="A38" s="187"/>
      <c r="B38" s="187" t="s">
        <v>84</v>
      </c>
      <c r="C38" s="207">
        <f>'Income Statement'!C60</f>
        <v>229166.66666666666</v>
      </c>
      <c r="D38" s="207">
        <f>'Income Statement'!D60</f>
        <v>229166.66666666666</v>
      </c>
      <c r="E38" s="207">
        <f>'Income Statement'!E60</f>
        <v>229166.66666666666</v>
      </c>
      <c r="F38" s="207">
        <f>'Income Statement'!F60</f>
        <v>229166.66666666666</v>
      </c>
      <c r="G38" s="207">
        <f>'Income Statement'!G60</f>
        <v>229166.66666666666</v>
      </c>
      <c r="H38" s="207">
        <f>'Income Statement'!H60</f>
        <v>229166.66666666666</v>
      </c>
      <c r="I38" s="207">
        <f>'Income Statement'!I60</f>
        <v>229166.66666666666</v>
      </c>
      <c r="J38" s="207">
        <f>'Income Statement'!J60</f>
        <v>229166.66666666666</v>
      </c>
      <c r="K38" s="207">
        <f>'Income Statement'!K60</f>
        <v>229166.66666666666</v>
      </c>
      <c r="L38" s="207">
        <f>'Income Statement'!L60</f>
        <v>229166.66666666666</v>
      </c>
      <c r="M38" s="207">
        <f>'Income Statement'!M60</f>
        <v>229166.66666666666</v>
      </c>
      <c r="N38" s="207">
        <f>'Income Statement'!N60</f>
        <v>229166.66666666666</v>
      </c>
      <c r="O38" s="242">
        <f>'Income Statement'!O60</f>
        <v>229166.66666666666</v>
      </c>
      <c r="P38" s="242">
        <f>'Income Statement'!P60</f>
        <v>229166.66666666666</v>
      </c>
      <c r="Q38" s="242">
        <f>'Income Statement'!Q60</f>
        <v>229166.66666666666</v>
      </c>
      <c r="R38" s="242">
        <f>'Income Statement'!R60</f>
        <v>229166.66666666666</v>
      </c>
      <c r="S38" s="242">
        <f>'Income Statement'!S60</f>
        <v>229166.66666666666</v>
      </c>
      <c r="T38" s="242">
        <f>'Income Statement'!T60</f>
        <v>229166.66666666666</v>
      </c>
      <c r="U38" s="242">
        <f>'Income Statement'!U60</f>
        <v>229166.66666666666</v>
      </c>
      <c r="V38" s="242">
        <f>'Income Statement'!V60</f>
        <v>229166.66666666666</v>
      </c>
      <c r="W38" s="242">
        <f>'Income Statement'!W60</f>
        <v>229166.66666666666</v>
      </c>
      <c r="X38" s="242">
        <f>'Income Statement'!X60</f>
        <v>229166.66666666666</v>
      </c>
      <c r="Y38" s="242">
        <f>'Income Statement'!Y60</f>
        <v>229166.66666666666</v>
      </c>
      <c r="Z38" s="242">
        <f>'Income Statement'!Z60</f>
        <v>229166.66666666666</v>
      </c>
      <c r="AA38" s="242">
        <f>'Income Statement'!AA60</f>
        <v>229166.66666666666</v>
      </c>
      <c r="AB38" s="242">
        <f>'Income Statement'!AB60</f>
        <v>229166.66666666666</v>
      </c>
      <c r="AC38" s="242">
        <f>'Income Statement'!AC60</f>
        <v>229166.66666666666</v>
      </c>
      <c r="AD38" s="242">
        <f>'Income Statement'!AD60</f>
        <v>229166.66666666666</v>
      </c>
      <c r="AE38" s="242">
        <f>'Income Statement'!AE60</f>
        <v>229166.66666666666</v>
      </c>
      <c r="AF38" s="242">
        <f>'Income Statement'!AF60</f>
        <v>229166.66666666666</v>
      </c>
      <c r="AG38" s="242">
        <f>'Income Statement'!AG60</f>
        <v>229166.66666666666</v>
      </c>
      <c r="AH38" s="242">
        <f>'Income Statement'!AH60</f>
        <v>229166.66666666666</v>
      </c>
      <c r="AI38" s="242">
        <f>'Income Statement'!AI60</f>
        <v>229166.66666666666</v>
      </c>
      <c r="AJ38" s="242">
        <f>'Income Statement'!AJ60</f>
        <v>229166.66666666666</v>
      </c>
      <c r="AK38" s="242">
        <f>'Income Statement'!AK60</f>
        <v>229166.66666666666</v>
      </c>
      <c r="AL38" s="242">
        <f>'Income Statement'!AL60</f>
        <v>229166.66666666666</v>
      </c>
      <c r="AM38" s="242">
        <f>'Income Statement'!AM60</f>
        <v>229166.66666666666</v>
      </c>
      <c r="AN38" s="242">
        <f>'Income Statement'!AN60</f>
        <v>229166.66666666666</v>
      </c>
      <c r="AO38" s="242">
        <f>'Income Statement'!AO60</f>
        <v>229166.66666666666</v>
      </c>
      <c r="AP38" s="242">
        <f>'Income Statement'!AP60</f>
        <v>229166.66666666666</v>
      </c>
      <c r="AQ38" s="242">
        <f>'Income Statement'!AQ60</f>
        <v>229166.66666666666</v>
      </c>
      <c r="AR38" s="242">
        <f>'Income Statement'!AR60</f>
        <v>229166.66666666666</v>
      </c>
      <c r="AS38" s="242">
        <f>'Income Statement'!AS60</f>
        <v>229166.66666666666</v>
      </c>
      <c r="AT38" s="242">
        <f>'Income Statement'!AT60</f>
        <v>229166.66666666666</v>
      </c>
      <c r="AU38" s="242">
        <f>'Income Statement'!AU60</f>
        <v>229166.66666666666</v>
      </c>
      <c r="AV38" s="242">
        <f>'Income Statement'!AV60</f>
        <v>229166.66666666666</v>
      </c>
      <c r="AW38" s="242">
        <f>'Income Statement'!AW60</f>
        <v>229166.66666666666</v>
      </c>
      <c r="AX38" s="242">
        <f>'Income Statement'!AX60</f>
        <v>229166.66666666666</v>
      </c>
      <c r="AY38" s="242">
        <f>'Income Statement'!AY60</f>
        <v>229166.66666666666</v>
      </c>
      <c r="AZ38" s="242">
        <f>'Income Statement'!AZ60</f>
        <v>229166.66666666666</v>
      </c>
      <c r="BA38" s="242">
        <f>'Income Statement'!BA60</f>
        <v>229166.66666666666</v>
      </c>
      <c r="BB38" s="242">
        <f>'Income Statement'!BB60</f>
        <v>229166.66666666666</v>
      </c>
      <c r="BC38" s="242">
        <f>'Income Statement'!BC60</f>
        <v>229166.66666666666</v>
      </c>
      <c r="BD38" s="242">
        <f>'Income Statement'!BD60</f>
        <v>229166.66666666666</v>
      </c>
      <c r="BE38" s="242">
        <f>'Income Statement'!BE60</f>
        <v>229166.66666666666</v>
      </c>
      <c r="BF38" s="242">
        <f>'Income Statement'!BF60</f>
        <v>229166.66666666666</v>
      </c>
      <c r="BG38" s="242">
        <f>'Income Statement'!BG60</f>
        <v>229166.66666666666</v>
      </c>
      <c r="BH38" s="242">
        <f>'Income Statement'!BH60</f>
        <v>229166.66666666666</v>
      </c>
      <c r="BI38" s="242">
        <f>'Income Statement'!BI60</f>
        <v>229166.66666666666</v>
      </c>
      <c r="BJ38" s="242">
        <f>'Income Statement'!BJ60</f>
        <v>229166.66666666666</v>
      </c>
    </row>
    <row r="39" spans="1:62" s="228" customFormat="1" ht="14" customHeight="1">
      <c r="A39" s="187"/>
      <c r="B39" s="187" t="s">
        <v>60</v>
      </c>
      <c r="C39" s="207">
        <f>'Balance Sheet'!C38-'Balance Sheet'!D38</f>
        <v>-442622.95081967214</v>
      </c>
      <c r="D39" s="207">
        <f>'Balance Sheet'!D38-'Balance Sheet'!E38</f>
        <v>-33196.721311475383</v>
      </c>
      <c r="E39" s="207">
        <f>'Balance Sheet'!E38-'Balance Sheet'!F38</f>
        <v>-35686.475409836043</v>
      </c>
      <c r="F39" s="207">
        <f>'Balance Sheet'!F38-'Balance Sheet'!G38</f>
        <v>-38362.961065573792</v>
      </c>
      <c r="G39" s="207">
        <f>'Balance Sheet'!G38-'Balance Sheet'!H38</f>
        <v>-41240.183145491756</v>
      </c>
      <c r="H39" s="207">
        <f>'Balance Sheet'!H38-'Balance Sheet'!I38</f>
        <v>-44333.196881403797</v>
      </c>
      <c r="I39" s="207">
        <f>'Balance Sheet'!I38-'Balance Sheet'!J38</f>
        <v>-47658.186647508992</v>
      </c>
      <c r="J39" s="207">
        <f>'Balance Sheet'!J38-'Balance Sheet'!K38</f>
        <v>-51232.550646072021</v>
      </c>
      <c r="K39" s="207">
        <f>'Balance Sheet'!K38-'Balance Sheet'!L38</f>
        <v>-55074.99194452737</v>
      </c>
      <c r="L39" s="207">
        <f>'Balance Sheet'!L38-'Balance Sheet'!M38</f>
        <v>-59205.616340367123</v>
      </c>
      <c r="M39" s="207">
        <f>'Balance Sheet'!M38-'Balance Sheet'!N38</f>
        <v>-63646.037565894541</v>
      </c>
      <c r="N39" s="207">
        <f>'Balance Sheet'!N38-'Balance Sheet'!O38</f>
        <v>-68419.490383336786</v>
      </c>
      <c r="O39" s="242">
        <f>'Balance Sheet'!O38-'Balance Sheet'!P38</f>
        <v>-73550.952162086964</v>
      </c>
      <c r="P39" s="242">
        <f>'Balance Sheet'!P38-'Balance Sheet'!Q38</f>
        <v>-79067.2735742433</v>
      </c>
      <c r="Q39" s="242">
        <f>'Balance Sheet'!Q38-'Balance Sheet'!R38</f>
        <v>-84997.319092311664</v>
      </c>
      <c r="R39" s="242">
        <f>'Balance Sheet'!R38-'Balance Sheet'!S38</f>
        <v>-91372.118024235358</v>
      </c>
      <c r="S39" s="242">
        <f>'Balance Sheet'!S38-'Balance Sheet'!T38</f>
        <v>-98225.026876052609</v>
      </c>
      <c r="T39" s="242">
        <f>'Balance Sheet'!T38-'Balance Sheet'!U38</f>
        <v>-105591.90389175643</v>
      </c>
      <c r="U39" s="242">
        <f>'Balance Sheet'!U38-'Balance Sheet'!V38</f>
        <v>-113511.29668363859</v>
      </c>
      <c r="V39" s="242">
        <f>'Balance Sheet'!V38-'Balance Sheet'!W38</f>
        <v>-122024.64393491088</v>
      </c>
      <c r="W39" s="242">
        <f>'Balance Sheet'!W38-'Balance Sheet'!X38</f>
        <v>-131176.49223002978</v>
      </c>
      <c r="X39" s="242">
        <f>'Balance Sheet'!X38-'Balance Sheet'!Y38</f>
        <v>-141014.7291472822</v>
      </c>
      <c r="Y39" s="242">
        <f>'Balance Sheet'!Y38-'Balance Sheet'!Z38</f>
        <v>-151590.83383332752</v>
      </c>
      <c r="Z39" s="242">
        <f>'Balance Sheet'!Z38-'Balance Sheet'!AA38</f>
        <v>-162960.14637082769</v>
      </c>
      <c r="AA39" s="242">
        <f>'Balance Sheet'!AA38-'Balance Sheet'!AB38</f>
        <v>-175182.1573486398</v>
      </c>
      <c r="AB39" s="242">
        <f>'Balance Sheet'!AB38-'Balance Sheet'!AC38</f>
        <v>-188320.81914978707</v>
      </c>
      <c r="AC39" s="242">
        <f>'Balance Sheet'!AC38-'Balance Sheet'!AD38</f>
        <v>-202444.88058602205</v>
      </c>
      <c r="AD39" s="242">
        <f>'Balance Sheet'!AD38-'Balance Sheet'!AE38</f>
        <v>-217628.24662997341</v>
      </c>
      <c r="AE39" s="242">
        <f>'Balance Sheet'!AE38-'Balance Sheet'!AF38</f>
        <v>-233950.36512722122</v>
      </c>
      <c r="AF39" s="242">
        <f>'Balance Sheet'!AF38-'Balance Sheet'!AG38</f>
        <v>-251496.64251176268</v>
      </c>
      <c r="AG39" s="242">
        <f>'Balance Sheet'!AG38-'Balance Sheet'!AH38</f>
        <v>-270358.89070014562</v>
      </c>
      <c r="AH39" s="242">
        <f>'Balance Sheet'!AH38-'Balance Sheet'!AI38</f>
        <v>-290635.80750265485</v>
      </c>
      <c r="AI39" s="242">
        <f>'Balance Sheet'!AI38-'Balance Sheet'!AJ38</f>
        <v>-312433.49306535628</v>
      </c>
      <c r="AJ39" s="242">
        <f>'Balance Sheet'!AJ38-'Balance Sheet'!AK38</f>
        <v>-335866.00504525565</v>
      </c>
      <c r="AK39" s="242">
        <f>'Balance Sheet'!AK38-'Balance Sheet'!AL38</f>
        <v>-361055.95542365126</v>
      </c>
      <c r="AL39" s="242">
        <f>'Balance Sheet'!AL38-'Balance Sheet'!AM38</f>
        <v>-388135.15208042506</v>
      </c>
      <c r="AM39" s="242">
        <f>'Balance Sheet'!AM38-'Balance Sheet'!AN38</f>
        <v>-417245.28848645557</v>
      </c>
      <c r="AN39" s="242">
        <f>'Balance Sheet'!AN38-'Balance Sheet'!AO38</f>
        <v>-448538.68512294069</v>
      </c>
      <c r="AO39" s="242">
        <f>'Balance Sheet'!AO38-'Balance Sheet'!AP38</f>
        <v>-482179.08650716208</v>
      </c>
      <c r="AP39" s="242">
        <f>'Balance Sheet'!AP38-'Balance Sheet'!AQ38</f>
        <v>-518342.51799519826</v>
      </c>
      <c r="AQ39" s="242">
        <f>'Balance Sheet'!AQ38-'Balance Sheet'!AR38</f>
        <v>-557218.2068448374</v>
      </c>
      <c r="AR39" s="242">
        <f>'Balance Sheet'!AR38-'Balance Sheet'!AS38</f>
        <v>-599009.57235820126</v>
      </c>
      <c r="AS39" s="242">
        <f>'Balance Sheet'!AS38-'Balance Sheet'!AT38</f>
        <v>-643935.29028506763</v>
      </c>
      <c r="AT39" s="242">
        <f>'Balance Sheet'!AT38-'Balance Sheet'!AU38</f>
        <v>-692230.43705644459</v>
      </c>
      <c r="AU39" s="242">
        <f>'Balance Sheet'!AU38-'Balance Sheet'!AV38</f>
        <v>-744147.71983568184</v>
      </c>
      <c r="AV39" s="242">
        <f>'Balance Sheet'!AV38-'Balance Sheet'!AW38</f>
        <v>-799958.7988233529</v>
      </c>
      <c r="AW39" s="242">
        <f>'Balance Sheet'!AW38-'Balance Sheet'!AX38</f>
        <v>-859955.70873510838</v>
      </c>
      <c r="AX39" s="242">
        <f>'Balance Sheet'!AX38-'Balance Sheet'!AY38</f>
        <v>-924452.38689024001</v>
      </c>
      <c r="AY39" s="242">
        <f>'Balance Sheet'!AY38-'Balance Sheet'!AZ38</f>
        <v>-993786.31590701081</v>
      </c>
      <c r="AZ39" s="242">
        <f>'Balance Sheet'!AZ38-'Balance Sheet'!BA38</f>
        <v>-1068320.2896000296</v>
      </c>
      <c r="BA39" s="242">
        <f>'Balance Sheet'!BA38-'Balance Sheet'!BB38</f>
        <v>-1148444.3113200366</v>
      </c>
      <c r="BB39" s="242">
        <f>'Balance Sheet'!BB38-'Balance Sheet'!BC38</f>
        <v>-1234577.6346690431</v>
      </c>
      <c r="BC39" s="242">
        <f>'Balance Sheet'!BC38-'Balance Sheet'!BD38</f>
        <v>-1327170.9572692141</v>
      </c>
      <c r="BD39" s="242">
        <f>'Balance Sheet'!BD38-'Balance Sheet'!BE38</f>
        <v>-1426708.7790644094</v>
      </c>
      <c r="BE39" s="242">
        <f>'Balance Sheet'!BE38-'Balance Sheet'!BF38</f>
        <v>-1533711.937494237</v>
      </c>
      <c r="BF39" s="242">
        <f>'Balance Sheet'!BF38-'Balance Sheet'!BG38</f>
        <v>-1648740.3328063041</v>
      </c>
      <c r="BG39" s="242">
        <f>'Balance Sheet'!BG38-'Balance Sheet'!BH38</f>
        <v>-1772395.8577667773</v>
      </c>
      <c r="BH39" s="242">
        <f>'Balance Sheet'!BH38-'Balance Sheet'!BI38</f>
        <v>-1905325.5470992886</v>
      </c>
      <c r="BI39" s="242">
        <f>'Balance Sheet'!BI38-'Balance Sheet'!BJ38</f>
        <v>-2048224.963131737</v>
      </c>
      <c r="BJ39" s="242">
        <f>'Balance Sheet'!BJ38-'Balance Sheet'!BK38</f>
        <v>-2201841.8353666104</v>
      </c>
    </row>
    <row r="40" spans="1:62" s="228" customFormat="1" ht="14" customHeight="1">
      <c r="A40" s="187"/>
      <c r="B40" s="187" t="s">
        <v>61</v>
      </c>
      <c r="C40" s="207">
        <f>'Balance Sheet'!C39-'Balance Sheet'!D39</f>
        <v>-22131.147540983606</v>
      </c>
      <c r="D40" s="207">
        <f>'Balance Sheet'!D39-'Balance Sheet'!E39</f>
        <v>-1659.8360655737706</v>
      </c>
      <c r="E40" s="207">
        <f>'Balance Sheet'!E39-'Balance Sheet'!F39</f>
        <v>-1784.3237704918029</v>
      </c>
      <c r="F40" s="207">
        <f>'Balance Sheet'!F39-'Balance Sheet'!G39</f>
        <v>-1918.1480532786882</v>
      </c>
      <c r="G40" s="207">
        <f>'Balance Sheet'!G39-'Balance Sheet'!H39</f>
        <v>-2062.0091572745914</v>
      </c>
      <c r="H40" s="207">
        <f>'Balance Sheet'!H39-'Balance Sheet'!I39</f>
        <v>-2216.6598440701819</v>
      </c>
      <c r="I40" s="207">
        <f>'Balance Sheet'!I39-'Balance Sheet'!J39</f>
        <v>-2382.909332375446</v>
      </c>
      <c r="J40" s="207">
        <f>'Balance Sheet'!J39-'Balance Sheet'!K39</f>
        <v>-2561.6275323036098</v>
      </c>
      <c r="K40" s="207">
        <f>'Balance Sheet'!K39-'Balance Sheet'!L39</f>
        <v>-2753.7495972263714</v>
      </c>
      <c r="L40" s="207">
        <f>'Balance Sheet'!L39-'Balance Sheet'!M39</f>
        <v>-2960.2808170183489</v>
      </c>
      <c r="M40" s="207">
        <f>'Balance Sheet'!M39-'Balance Sheet'!N39</f>
        <v>-3182.3018782947329</v>
      </c>
      <c r="N40" s="207">
        <f>'Balance Sheet'!N39-'Balance Sheet'!O39</f>
        <v>-3420.9745191668335</v>
      </c>
      <c r="O40" s="242">
        <f>'Balance Sheet'!O39-'Balance Sheet'!P39</f>
        <v>-3677.5476081043525</v>
      </c>
      <c r="P40" s="242">
        <f>'Balance Sheet'!P39-'Balance Sheet'!Q39</f>
        <v>-3953.3636787121723</v>
      </c>
      <c r="Q40" s="242">
        <f>'Balance Sheet'!Q39-'Balance Sheet'!R39</f>
        <v>-4249.8659546155832</v>
      </c>
      <c r="R40" s="242">
        <f>'Balance Sheet'!R39-'Balance Sheet'!S39</f>
        <v>-4568.6059012117548</v>
      </c>
      <c r="S40" s="242">
        <f>'Balance Sheet'!S39-'Balance Sheet'!T39</f>
        <v>-4911.2513438026217</v>
      </c>
      <c r="T40" s="242">
        <f>'Balance Sheet'!T39-'Balance Sheet'!U39</f>
        <v>-5279.5951945878478</v>
      </c>
      <c r="U40" s="242">
        <f>'Balance Sheet'!U39-'Balance Sheet'!V39</f>
        <v>-5675.5648341819324</v>
      </c>
      <c r="V40" s="242">
        <f>'Balance Sheet'!V39-'Balance Sheet'!W39</f>
        <v>-6101.2321967455355</v>
      </c>
      <c r="W40" s="242">
        <f>'Balance Sheet'!W39-'Balance Sheet'!X39</f>
        <v>-6558.8246115014917</v>
      </c>
      <c r="X40" s="242">
        <f>'Balance Sheet'!X39-'Balance Sheet'!Y39</f>
        <v>-7050.7364573640953</v>
      </c>
      <c r="Y40" s="242">
        <f>'Balance Sheet'!Y39-'Balance Sheet'!Z39</f>
        <v>-7579.5416916664108</v>
      </c>
      <c r="Z40" s="242">
        <f>'Balance Sheet'!Z39-'Balance Sheet'!AA39</f>
        <v>-8148.0073185413639</v>
      </c>
      <c r="AA40" s="242">
        <f>'Balance Sheet'!AA39-'Balance Sheet'!AB39</f>
        <v>-8759.1078674320015</v>
      </c>
      <c r="AB40" s="242">
        <f>'Balance Sheet'!AB39-'Balance Sheet'!AC39</f>
        <v>-9416.0409574893565</v>
      </c>
      <c r="AC40" s="242">
        <f>'Balance Sheet'!AC39-'Balance Sheet'!AD39</f>
        <v>-10122.244029301102</v>
      </c>
      <c r="AD40" s="242">
        <f>'Balance Sheet'!AD39-'Balance Sheet'!AE39</f>
        <v>-10881.412331498665</v>
      </c>
      <c r="AE40" s="242">
        <f>'Balance Sheet'!AE39-'Balance Sheet'!AF39</f>
        <v>-11697.518256361043</v>
      </c>
      <c r="AF40" s="242">
        <f>'Balance Sheet'!AF39-'Balance Sheet'!AG39</f>
        <v>-12574.832125588146</v>
      </c>
      <c r="AG40" s="242">
        <f>'Balance Sheet'!AG39-'Balance Sheet'!AH39</f>
        <v>-13517.944535007264</v>
      </c>
      <c r="AH40" s="242">
        <f>'Balance Sheet'!AH39-'Balance Sheet'!AI39</f>
        <v>-14531.790375132783</v>
      </c>
      <c r="AI40" s="242">
        <f>'Balance Sheet'!AI39-'Balance Sheet'!AJ39</f>
        <v>-15621.67465326775</v>
      </c>
      <c r="AJ40" s="242">
        <f>'Balance Sheet'!AJ39-'Balance Sheet'!AK39</f>
        <v>-16793.300252262852</v>
      </c>
      <c r="AK40" s="242">
        <f>'Balance Sheet'!AK39-'Balance Sheet'!AL39</f>
        <v>-18052.797771182522</v>
      </c>
      <c r="AL40" s="242">
        <f>'Balance Sheet'!AL39-'Balance Sheet'!AM39</f>
        <v>-19406.75760402123</v>
      </c>
      <c r="AM40" s="242">
        <f>'Balance Sheet'!AM39-'Balance Sheet'!AN39</f>
        <v>-20862.264424322813</v>
      </c>
      <c r="AN40" s="242">
        <f>'Balance Sheet'!AN39-'Balance Sheet'!AO39</f>
        <v>-22426.934256147069</v>
      </c>
      <c r="AO40" s="242">
        <f>'Balance Sheet'!AO39-'Balance Sheet'!AP39</f>
        <v>-24108.954325358092</v>
      </c>
      <c r="AP40" s="242">
        <f>'Balance Sheet'!AP39-'Balance Sheet'!AQ39</f>
        <v>-25917.125899759936</v>
      </c>
      <c r="AQ40" s="242">
        <f>'Balance Sheet'!AQ39-'Balance Sheet'!AR39</f>
        <v>-27860.91034224187</v>
      </c>
      <c r="AR40" s="242">
        <f>'Balance Sheet'!AR39-'Balance Sheet'!AS39</f>
        <v>-29950.478617910063</v>
      </c>
      <c r="AS40" s="242">
        <f>'Balance Sheet'!AS39-'Balance Sheet'!AT39</f>
        <v>-32196.764514253358</v>
      </c>
      <c r="AT40" s="242">
        <f>'Balance Sheet'!AT39-'Balance Sheet'!AU39</f>
        <v>-34611.521852822276</v>
      </c>
      <c r="AU40" s="242">
        <f>'Balance Sheet'!AU39-'Balance Sheet'!AV39</f>
        <v>-37207.385991783987</v>
      </c>
      <c r="AV40" s="242">
        <f>'Balance Sheet'!AV39-'Balance Sheet'!AW39</f>
        <v>-39997.939941167831</v>
      </c>
      <c r="AW40" s="242">
        <f>'Balance Sheet'!AW39-'Balance Sheet'!AX39</f>
        <v>-42997.785436755279</v>
      </c>
      <c r="AX40" s="242">
        <f>'Balance Sheet'!AX39-'Balance Sheet'!AY39</f>
        <v>-46222.619344512001</v>
      </c>
      <c r="AY40" s="242">
        <f>'Balance Sheet'!AY39-'Balance Sheet'!AZ39</f>
        <v>-49689.315795350471</v>
      </c>
      <c r="AZ40" s="242">
        <f>'Balance Sheet'!AZ39-'Balance Sheet'!BA39</f>
        <v>-53416.014480001759</v>
      </c>
      <c r="BA40" s="242">
        <f>'Balance Sheet'!BA39-'Balance Sheet'!BB39</f>
        <v>-57422.215566001716</v>
      </c>
      <c r="BB40" s="242">
        <f>'Balance Sheet'!BB39-'Balance Sheet'!BC39</f>
        <v>-61728.881733451854</v>
      </c>
      <c r="BC40" s="242">
        <f>'Balance Sheet'!BC39-'Balance Sheet'!BD39</f>
        <v>-66358.547863460961</v>
      </c>
      <c r="BD40" s="242">
        <f>'Balance Sheet'!BD39-'Balance Sheet'!BE39</f>
        <v>-71335.438953220379</v>
      </c>
      <c r="BE40" s="242">
        <f>'Balance Sheet'!BE39-'Balance Sheet'!BF39</f>
        <v>-76685.596874711919</v>
      </c>
      <c r="BF40" s="242">
        <f>'Balance Sheet'!BF39-'Balance Sheet'!BG39</f>
        <v>-82437.016640315298</v>
      </c>
      <c r="BG40" s="242">
        <f>'Balance Sheet'!BG39-'Balance Sheet'!BH39</f>
        <v>-88619.79288833891</v>
      </c>
      <c r="BH40" s="242">
        <f>'Balance Sheet'!BH39-'Balance Sheet'!BI39</f>
        <v>-95266.277354964521</v>
      </c>
      <c r="BI40" s="242">
        <f>'Balance Sheet'!BI39-'Balance Sheet'!BJ39</f>
        <v>-102411.24815658666</v>
      </c>
      <c r="BJ40" s="242">
        <f>'Balance Sheet'!BJ39-'Balance Sheet'!BK39</f>
        <v>-110092.09176833066</v>
      </c>
    </row>
    <row r="41" spans="1:62" s="228" customFormat="1" ht="14" customHeight="1">
      <c r="A41" s="187"/>
      <c r="B41" s="187" t="s">
        <v>62</v>
      </c>
      <c r="C41" s="207">
        <f>'Balance Sheet'!C40-'Balance Sheet'!D40</f>
        <v>-22500</v>
      </c>
      <c r="D41" s="207">
        <f>'Balance Sheet'!D40-'Balance Sheet'!E40</f>
        <v>-1687.5</v>
      </c>
      <c r="E41" s="207">
        <f>'Balance Sheet'!E40-'Balance Sheet'!F40</f>
        <v>-1814.0625</v>
      </c>
      <c r="F41" s="207">
        <f>'Balance Sheet'!F40-'Balance Sheet'!G40</f>
        <v>-1950.1171875</v>
      </c>
      <c r="G41" s="207">
        <f>'Balance Sheet'!G40-'Balance Sheet'!H40</f>
        <v>-2096.3759765625</v>
      </c>
      <c r="H41" s="207">
        <f>'Balance Sheet'!H40-'Balance Sheet'!I40</f>
        <v>-2253.6041748046882</v>
      </c>
      <c r="I41" s="207">
        <f>'Balance Sheet'!I40-'Balance Sheet'!J40</f>
        <v>-2422.6244879150436</v>
      </c>
      <c r="J41" s="207">
        <f>'Balance Sheet'!J40-'Balance Sheet'!K40</f>
        <v>-2604.321324508659</v>
      </c>
      <c r="K41" s="207">
        <f>'Balance Sheet'!K40-'Balance Sheet'!L40</f>
        <v>-2799.6454238468068</v>
      </c>
      <c r="L41" s="207">
        <f>'Balance Sheet'!L40-'Balance Sheet'!M40</f>
        <v>-3009.6188306353288</v>
      </c>
      <c r="M41" s="207">
        <f>'Balance Sheet'!M40-'Balance Sheet'!N40</f>
        <v>-3235.3402429329799</v>
      </c>
      <c r="N41" s="207">
        <f>'Balance Sheet'!N40-'Balance Sheet'!O40</f>
        <v>-3477.9907611529488</v>
      </c>
      <c r="O41" s="242">
        <f>'Balance Sheet'!O40-'Balance Sheet'!P40</f>
        <v>-3738.8400682394204</v>
      </c>
      <c r="P41" s="242">
        <f>'Balance Sheet'!P40-'Balance Sheet'!Q40</f>
        <v>-4019.2530733573658</v>
      </c>
      <c r="Q41" s="242">
        <f>'Balance Sheet'!Q40-'Balance Sheet'!R40</f>
        <v>-4320.6970538591777</v>
      </c>
      <c r="R41" s="242">
        <f>'Balance Sheet'!R40-'Balance Sheet'!S40</f>
        <v>-4644.7493328986384</v>
      </c>
      <c r="S41" s="242">
        <f>'Balance Sheet'!S40-'Balance Sheet'!T40</f>
        <v>-4993.1055328660004</v>
      </c>
      <c r="T41" s="242">
        <f>'Balance Sheet'!T40-'Balance Sheet'!U40</f>
        <v>-5367.5884478309599</v>
      </c>
      <c r="U41" s="242">
        <f>'Balance Sheet'!U40-'Balance Sheet'!V40</f>
        <v>-5770.1575814183016</v>
      </c>
      <c r="V41" s="242">
        <f>'Balance Sheet'!V40-'Balance Sheet'!W40</f>
        <v>-6202.9194000246353</v>
      </c>
      <c r="W41" s="242">
        <f>'Balance Sheet'!W40-'Balance Sheet'!X40</f>
        <v>-6668.1383550265018</v>
      </c>
      <c r="X41" s="242">
        <f>'Balance Sheet'!X40-'Balance Sheet'!Y40</f>
        <v>-7168.2487316535116</v>
      </c>
      <c r="Y41" s="242">
        <f>'Balance Sheet'!Y40-'Balance Sheet'!Z40</f>
        <v>-7705.867386527505</v>
      </c>
      <c r="Z41" s="242">
        <f>'Balance Sheet'!Z40-'Balance Sheet'!AA40</f>
        <v>-8283.8074405170628</v>
      </c>
      <c r="AA41" s="242">
        <f>'Balance Sheet'!AA40-'Balance Sheet'!AB40</f>
        <v>-8905.0929985558469</v>
      </c>
      <c r="AB41" s="242">
        <f>'Balance Sheet'!AB40-'Balance Sheet'!AC40</f>
        <v>-9572.974973447519</v>
      </c>
      <c r="AC41" s="242">
        <f>'Balance Sheet'!AC40-'Balance Sheet'!AD40</f>
        <v>-10290.948096456093</v>
      </c>
      <c r="AD41" s="242">
        <f>'Balance Sheet'!AD40-'Balance Sheet'!AE40</f>
        <v>-11062.769203690346</v>
      </c>
      <c r="AE41" s="242">
        <f>'Balance Sheet'!AE40-'Balance Sheet'!AF40</f>
        <v>-11892.476893967076</v>
      </c>
      <c r="AF41" s="242">
        <f>'Balance Sheet'!AF40-'Balance Sheet'!AG40</f>
        <v>-12784.41266101459</v>
      </c>
      <c r="AG41" s="242">
        <f>'Balance Sheet'!AG40-'Balance Sheet'!AH40</f>
        <v>-13743.243610590755</v>
      </c>
      <c r="AH41" s="242">
        <f>'Balance Sheet'!AH40-'Balance Sheet'!AI40</f>
        <v>-14773.986881384946</v>
      </c>
      <c r="AI41" s="242">
        <f>'Balance Sheet'!AI40-'Balance Sheet'!AJ40</f>
        <v>-15882.035897488939</v>
      </c>
      <c r="AJ41" s="242">
        <f>'Balance Sheet'!AJ40-'Balance Sheet'!AK40</f>
        <v>-17073.188589800528</v>
      </c>
      <c r="AK41" s="242">
        <f>'Balance Sheet'!AK40-'Balance Sheet'!AL40</f>
        <v>-18353.677734035562</v>
      </c>
      <c r="AL41" s="242">
        <f>'Balance Sheet'!AL40-'Balance Sheet'!AM40</f>
        <v>-19730.203564088268</v>
      </c>
      <c r="AM41" s="242">
        <f>'Balance Sheet'!AM40-'Balance Sheet'!AN40</f>
        <v>-21209.968831394857</v>
      </c>
      <c r="AN41" s="242">
        <f>'Balance Sheet'!AN40-'Balance Sheet'!AO40</f>
        <v>-22800.716493749525</v>
      </c>
      <c r="AO41" s="242">
        <f>'Balance Sheet'!AO40-'Balance Sheet'!AP40</f>
        <v>-24510.770230780705</v>
      </c>
      <c r="AP41" s="242">
        <f>'Balance Sheet'!AP40-'Balance Sheet'!AQ40</f>
        <v>-26349.077998089255</v>
      </c>
      <c r="AQ41" s="242">
        <f>'Balance Sheet'!AQ40-'Balance Sheet'!AR40</f>
        <v>-28325.258847945894</v>
      </c>
      <c r="AR41" s="242">
        <f>'Balance Sheet'!AR40-'Balance Sheet'!AS40</f>
        <v>-30449.653261541913</v>
      </c>
      <c r="AS41" s="242">
        <f>'Balance Sheet'!AS40-'Balance Sheet'!AT40</f>
        <v>-32733.377256157633</v>
      </c>
      <c r="AT41" s="242">
        <f>'Balance Sheet'!AT40-'Balance Sheet'!AU40</f>
        <v>-35188.380550369213</v>
      </c>
      <c r="AU41" s="242">
        <f>'Balance Sheet'!AU40-'Balance Sheet'!AV40</f>
        <v>-37827.509091647225</v>
      </c>
      <c r="AV41" s="242">
        <f>'Balance Sheet'!AV40-'Balance Sheet'!AW40</f>
        <v>-40664.572273520404</v>
      </c>
      <c r="AW41" s="242">
        <f>'Balance Sheet'!AW40-'Balance Sheet'!AX40</f>
        <v>-43714.415194034693</v>
      </c>
      <c r="AX41" s="242">
        <f>'Balance Sheet'!AX40-'Balance Sheet'!AY40</f>
        <v>-46992.996333587216</v>
      </c>
      <c r="AY41" s="242">
        <f>'Balance Sheet'!AY40-'Balance Sheet'!AZ40</f>
        <v>-50517.471058606287</v>
      </c>
      <c r="AZ41" s="242">
        <f>'Balance Sheet'!AZ40-'Balance Sheet'!BA40</f>
        <v>-54306.281388001516</v>
      </c>
      <c r="BA41" s="242">
        <f>'Balance Sheet'!BA40-'Balance Sheet'!BB40</f>
        <v>-58379.252492101863</v>
      </c>
      <c r="BB41" s="242">
        <f>'Balance Sheet'!BB40-'Balance Sheet'!BC40</f>
        <v>-62757.696429009782</v>
      </c>
      <c r="BC41" s="242">
        <f>'Balance Sheet'!BC40-'Balance Sheet'!BD40</f>
        <v>-67464.523661185056</v>
      </c>
      <c r="BD41" s="242">
        <f>'Balance Sheet'!BD40-'Balance Sheet'!BE40</f>
        <v>-72524.362935774028</v>
      </c>
      <c r="BE41" s="242">
        <f>'Balance Sheet'!BE40-'Balance Sheet'!BF40</f>
        <v>-77963.690155957127</v>
      </c>
      <c r="BF41" s="242">
        <f>'Balance Sheet'!BF40-'Balance Sheet'!BG40</f>
        <v>-83810.966917653801</v>
      </c>
      <c r="BG41" s="242">
        <f>'Balance Sheet'!BG40-'Balance Sheet'!BH40</f>
        <v>-90096.789436477935</v>
      </c>
      <c r="BH41" s="242">
        <f>'Balance Sheet'!BH40-'Balance Sheet'!BI40</f>
        <v>-96854.048644213704</v>
      </c>
      <c r="BI41" s="242">
        <f>'Balance Sheet'!BI40-'Balance Sheet'!BJ40</f>
        <v>-104118.10229253001</v>
      </c>
      <c r="BJ41" s="242">
        <f>'Balance Sheet'!BJ40-'Balance Sheet'!BK40</f>
        <v>-111926.95996446931</v>
      </c>
    </row>
    <row r="42" spans="1:62" s="228" customFormat="1" ht="14" customHeight="1">
      <c r="A42" s="187"/>
      <c r="B42" s="187" t="s">
        <v>64</v>
      </c>
      <c r="C42" s="207">
        <f>'Balance Sheet'!D48-'Balance Sheet'!C48</f>
        <v>509016.39344262297</v>
      </c>
      <c r="D42" s="207">
        <f>'Balance Sheet'!E48-'Balance Sheet'!D48</f>
        <v>0</v>
      </c>
      <c r="E42" s="207">
        <f>'Balance Sheet'!F48-'Balance Sheet'!E48</f>
        <v>0</v>
      </c>
      <c r="F42" s="207">
        <f>'Balance Sheet'!G48-'Balance Sheet'!F48</f>
        <v>0</v>
      </c>
      <c r="G42" s="207">
        <f>'Balance Sheet'!H48-'Balance Sheet'!G48</f>
        <v>0</v>
      </c>
      <c r="H42" s="207">
        <f>'Balance Sheet'!I48-'Balance Sheet'!H48</f>
        <v>0</v>
      </c>
      <c r="I42" s="207">
        <f>'Balance Sheet'!J48-'Balance Sheet'!I48</f>
        <v>0</v>
      </c>
      <c r="J42" s="207">
        <f>'Balance Sheet'!K48-'Balance Sheet'!J48</f>
        <v>0</v>
      </c>
      <c r="K42" s="207">
        <f>'Balance Sheet'!L48-'Balance Sheet'!K48</f>
        <v>0</v>
      </c>
      <c r="L42" s="207">
        <f>'Balance Sheet'!M48-'Balance Sheet'!L48</f>
        <v>0</v>
      </c>
      <c r="M42" s="207">
        <f>'Balance Sheet'!N48-'Balance Sheet'!M48</f>
        <v>0</v>
      </c>
      <c r="N42" s="207">
        <f>'Balance Sheet'!O48-'Balance Sheet'!N48</f>
        <v>0</v>
      </c>
      <c r="O42" s="242">
        <f>'Balance Sheet'!P48-'Balance Sheet'!O48</f>
        <v>362090.16393442615</v>
      </c>
      <c r="P42" s="242">
        <f>'Balance Sheet'!Q48-'Balance Sheet'!P48</f>
        <v>0</v>
      </c>
      <c r="Q42" s="242">
        <f>'Balance Sheet'!R48-'Balance Sheet'!Q48</f>
        <v>0</v>
      </c>
      <c r="R42" s="242">
        <f>'Balance Sheet'!S48-'Balance Sheet'!R48</f>
        <v>0</v>
      </c>
      <c r="S42" s="242">
        <f>'Balance Sheet'!T48-'Balance Sheet'!S48</f>
        <v>0</v>
      </c>
      <c r="T42" s="242">
        <f>'Balance Sheet'!U48-'Balance Sheet'!T48</f>
        <v>0</v>
      </c>
      <c r="U42" s="242">
        <f>'Balance Sheet'!V48-'Balance Sheet'!U48</f>
        <v>0</v>
      </c>
      <c r="V42" s="242">
        <f>'Balance Sheet'!W48-'Balance Sheet'!V48</f>
        <v>0</v>
      </c>
      <c r="W42" s="242">
        <f>'Balance Sheet'!X48-'Balance Sheet'!W48</f>
        <v>0</v>
      </c>
      <c r="X42" s="242">
        <f>'Balance Sheet'!Y48-'Balance Sheet'!X48</f>
        <v>0</v>
      </c>
      <c r="Y42" s="242">
        <f>'Balance Sheet'!Z48-'Balance Sheet'!Y48</f>
        <v>0</v>
      </c>
      <c r="Z42" s="242">
        <f>'Balance Sheet'!AA48-'Balance Sheet'!Z48</f>
        <v>0</v>
      </c>
      <c r="AA42" s="242">
        <f>'Balance Sheet'!AB48-'Balance Sheet'!AA48</f>
        <v>681301.22950819682</v>
      </c>
      <c r="AB42" s="242">
        <f>'Balance Sheet'!AC48-'Balance Sheet'!AB48</f>
        <v>0</v>
      </c>
      <c r="AC42" s="242">
        <f>'Balance Sheet'!AD48-'Balance Sheet'!AC48</f>
        <v>0</v>
      </c>
      <c r="AD42" s="242">
        <f>'Balance Sheet'!AE48-'Balance Sheet'!AD48</f>
        <v>0</v>
      </c>
      <c r="AE42" s="242">
        <f>'Balance Sheet'!AF48-'Balance Sheet'!AE48</f>
        <v>0</v>
      </c>
      <c r="AF42" s="242">
        <f>'Balance Sheet'!AG48-'Balance Sheet'!AF48</f>
        <v>0</v>
      </c>
      <c r="AG42" s="242">
        <f>'Balance Sheet'!AH48-'Balance Sheet'!AG48</f>
        <v>0</v>
      </c>
      <c r="AH42" s="242">
        <f>'Balance Sheet'!AI48-'Balance Sheet'!AH48</f>
        <v>0</v>
      </c>
      <c r="AI42" s="242">
        <f>'Balance Sheet'!AJ48-'Balance Sheet'!AI48</f>
        <v>0</v>
      </c>
      <c r="AJ42" s="242">
        <f>'Balance Sheet'!AK48-'Balance Sheet'!AJ48</f>
        <v>0</v>
      </c>
      <c r="AK42" s="242">
        <f>'Balance Sheet'!AL48-'Balance Sheet'!AK48</f>
        <v>0</v>
      </c>
      <c r="AL42" s="242">
        <f>'Balance Sheet'!AM48-'Balance Sheet'!AL48</f>
        <v>0</v>
      </c>
      <c r="AM42" s="242">
        <f>'Balance Sheet'!AN48-'Balance Sheet'!AM48</f>
        <v>1304392.9303278688</v>
      </c>
      <c r="AN42" s="242">
        <f>'Balance Sheet'!AO48-'Balance Sheet'!AN48</f>
        <v>0</v>
      </c>
      <c r="AO42" s="242">
        <f>'Balance Sheet'!AP48-'Balance Sheet'!AO48</f>
        <v>0</v>
      </c>
      <c r="AP42" s="242">
        <f>'Balance Sheet'!AQ48-'Balance Sheet'!AP48</f>
        <v>0</v>
      </c>
      <c r="AQ42" s="242">
        <f>'Balance Sheet'!AR48-'Balance Sheet'!AQ48</f>
        <v>0</v>
      </c>
      <c r="AR42" s="242">
        <f>'Balance Sheet'!AS48-'Balance Sheet'!AR48</f>
        <v>0</v>
      </c>
      <c r="AS42" s="242">
        <f>'Balance Sheet'!AT48-'Balance Sheet'!AS48</f>
        <v>0</v>
      </c>
      <c r="AT42" s="242">
        <f>'Balance Sheet'!AU48-'Balance Sheet'!AT48</f>
        <v>0</v>
      </c>
      <c r="AU42" s="242">
        <f>'Balance Sheet'!AV48-'Balance Sheet'!AU48</f>
        <v>0</v>
      </c>
      <c r="AV42" s="242">
        <f>'Balance Sheet'!AW48-'Balance Sheet'!AV48</f>
        <v>0</v>
      </c>
      <c r="AW42" s="242">
        <f>'Balance Sheet'!AX48-'Balance Sheet'!AW48</f>
        <v>0</v>
      </c>
      <c r="AX42" s="242">
        <f>'Balance Sheet'!AY48-'Balance Sheet'!AX48</f>
        <v>0</v>
      </c>
      <c r="AY42" s="242">
        <f>'Balance Sheet'!AZ48-'Balance Sheet'!AY48</f>
        <v>2527955.3022540985</v>
      </c>
      <c r="AZ42" s="242">
        <f>'Balance Sheet'!BA48-'Balance Sheet'!AZ48</f>
        <v>0</v>
      </c>
      <c r="BA42" s="242">
        <f>'Balance Sheet'!BB48-'Balance Sheet'!BA48</f>
        <v>0</v>
      </c>
      <c r="BB42" s="242">
        <f>'Balance Sheet'!BC48-'Balance Sheet'!BB48</f>
        <v>0</v>
      </c>
      <c r="BC42" s="242">
        <f>'Balance Sheet'!BD48-'Balance Sheet'!BC48</f>
        <v>0</v>
      </c>
      <c r="BD42" s="242">
        <f>'Balance Sheet'!BE48-'Balance Sheet'!BD48</f>
        <v>0</v>
      </c>
      <c r="BE42" s="242">
        <f>'Balance Sheet'!BF48-'Balance Sheet'!BE48</f>
        <v>0</v>
      </c>
      <c r="BF42" s="242">
        <f>'Balance Sheet'!BG48-'Balance Sheet'!BF48</f>
        <v>0</v>
      </c>
      <c r="BG42" s="242">
        <f>'Balance Sheet'!BH48-'Balance Sheet'!BG48</f>
        <v>0</v>
      </c>
      <c r="BH42" s="242">
        <f>'Balance Sheet'!BI48-'Balance Sheet'!BH48</f>
        <v>0</v>
      </c>
      <c r="BI42" s="242">
        <f>'Balance Sheet'!BJ48-'Balance Sheet'!BI48</f>
        <v>0</v>
      </c>
      <c r="BJ42" s="242">
        <f>'Balance Sheet'!BK48-'Balance Sheet'!BJ48</f>
        <v>0</v>
      </c>
    </row>
    <row r="43" spans="1:62" s="228" customFormat="1" ht="14" customHeight="1">
      <c r="A43" s="201"/>
      <c r="B43" s="201"/>
      <c r="C43" s="209">
        <f t="shared" ref="C43:AH43" si="1">SUM(C36:C42)</f>
        <v>-90737.704918032745</v>
      </c>
      <c r="D43" s="209">
        <f t="shared" si="1"/>
        <v>-118669.05737704912</v>
      </c>
      <c r="E43" s="209">
        <f t="shared" si="1"/>
        <v>-88756.736680327813</v>
      </c>
      <c r="F43" s="209">
        <f t="shared" si="1"/>
        <v>-56600.991931352481</v>
      </c>
      <c r="G43" s="209">
        <f t="shared" si="1"/>
        <v>-22033.566326203847</v>
      </c>
      <c r="H43" s="209">
        <f t="shared" si="1"/>
        <v>15126.416199330684</v>
      </c>
      <c r="I43" s="209">
        <f t="shared" si="1"/>
        <v>55073.397414280655</v>
      </c>
      <c r="J43" s="209">
        <f t="shared" si="1"/>
        <v>98016.40222035168</v>
      </c>
      <c r="K43" s="209">
        <f t="shared" si="1"/>
        <v>144180.13238687799</v>
      </c>
      <c r="L43" s="209">
        <f t="shared" si="1"/>
        <v>193806.14231589367</v>
      </c>
      <c r="M43" s="209">
        <f t="shared" si="1"/>
        <v>247154.10298958581</v>
      </c>
      <c r="N43" s="209">
        <f t="shared" si="1"/>
        <v>304503.16071380465</v>
      </c>
      <c r="O43" s="243">
        <f t="shared" si="1"/>
        <v>360118.56170176598</v>
      </c>
      <c r="P43" s="243">
        <f t="shared" si="1"/>
        <v>64302.402599890513</v>
      </c>
      <c r="Q43" s="243">
        <f t="shared" si="1"/>
        <v>135546.95779488201</v>
      </c>
      <c r="R43" s="243">
        <f t="shared" si="1"/>
        <v>194003.71014450261</v>
      </c>
      <c r="S43" s="243">
        <f t="shared" si="1"/>
        <v>256832.62903034073</v>
      </c>
      <c r="T43" s="243">
        <f t="shared" si="1"/>
        <v>324373.71683261613</v>
      </c>
      <c r="U43" s="243">
        <f t="shared" si="1"/>
        <v>396980.38622006204</v>
      </c>
      <c r="V43" s="243">
        <f t="shared" si="1"/>
        <v>475032.55581156712</v>
      </c>
      <c r="W43" s="243">
        <f t="shared" si="1"/>
        <v>558938.63812243391</v>
      </c>
      <c r="X43" s="243">
        <f t="shared" si="1"/>
        <v>649137.67660661647</v>
      </c>
      <c r="Y43" s="243">
        <f t="shared" si="1"/>
        <v>746101.64297711349</v>
      </c>
      <c r="Z43" s="243">
        <f t="shared" si="1"/>
        <v>850337.90682539647</v>
      </c>
      <c r="AA43" s="243">
        <f t="shared" si="1"/>
        <v>1101343.2762204974</v>
      </c>
      <c r="AB43" s="243">
        <f t="shared" si="1"/>
        <v>540500.07912197395</v>
      </c>
      <c r="AC43" s="243">
        <f t="shared" si="1"/>
        <v>669992.46396237065</v>
      </c>
      <c r="AD43" s="243">
        <f t="shared" si="1"/>
        <v>809196.77766579925</v>
      </c>
      <c r="AE43" s="243">
        <f t="shared" si="1"/>
        <v>958841.41489698412</v>
      </c>
      <c r="AF43" s="243">
        <f t="shared" si="1"/>
        <v>1119709.3999205078</v>
      </c>
      <c r="AG43" s="243">
        <f t="shared" si="1"/>
        <v>1292642.4838207958</v>
      </c>
      <c r="AH43" s="243">
        <f t="shared" si="1"/>
        <v>1478545.5490136065</v>
      </c>
      <c r="AI43" s="243">
        <f t="shared" ref="AI43:BJ43" si="2">SUM(AI36:AI42)</f>
        <v>1678391.3440958753</v>
      </c>
      <c r="AJ43" s="243">
        <f t="shared" si="2"/>
        <v>1893225.5738093173</v>
      </c>
      <c r="AK43" s="243">
        <f t="shared" si="2"/>
        <v>2124172.370751265</v>
      </c>
      <c r="AL43" s="243">
        <f t="shared" si="2"/>
        <v>2372440.1774638598</v>
      </c>
      <c r="AM43" s="243">
        <f t="shared" si="2"/>
        <v>2905359.0078202691</v>
      </c>
      <c r="AN43" s="243">
        <f t="shared" si="2"/>
        <v>1887870.5616246411</v>
      </c>
      <c r="AO43" s="243">
        <f t="shared" si="2"/>
        <v>2196292.8820668007</v>
      </c>
      <c r="AP43" s="243">
        <f t="shared" si="2"/>
        <v>2527846.876542124</v>
      </c>
      <c r="AQ43" s="243">
        <f t="shared" si="2"/>
        <v>2884267.420603096</v>
      </c>
      <c r="AR43" s="243">
        <f t="shared" si="2"/>
        <v>3267419.50546864</v>
      </c>
      <c r="AS43" s="243">
        <f t="shared" si="2"/>
        <v>3679307.9966991004</v>
      </c>
      <c r="AT43" s="243">
        <f t="shared" si="2"/>
        <v>4122088.1247718469</v>
      </c>
      <c r="AU43" s="243">
        <f t="shared" si="2"/>
        <v>4598076.762450044</v>
      </c>
      <c r="AV43" s="243">
        <f t="shared" si="2"/>
        <v>5109764.5479541132</v>
      </c>
      <c r="AW43" s="243">
        <f t="shared" si="2"/>
        <v>5659828.9173709815</v>
      </c>
      <c r="AX43" s="243">
        <f t="shared" si="2"/>
        <v>6251148.1144941188</v>
      </c>
      <c r="AY43" s="243">
        <f t="shared" si="2"/>
        <v>7402392.7352962112</v>
      </c>
      <c r="AZ43" s="243">
        <f t="shared" si="2"/>
        <v>5557780.6802175418</v>
      </c>
      <c r="BA43" s="243">
        <f t="shared" si="2"/>
        <v>6292374.6709311176</v>
      </c>
      <c r="BB43" s="243">
        <f t="shared" si="2"/>
        <v>7082063.2109482158</v>
      </c>
      <c r="BC43" s="243">
        <f t="shared" si="2"/>
        <v>7930978.3914666008</v>
      </c>
      <c r="BD43" s="243">
        <f t="shared" si="2"/>
        <v>8843562.2105238568</v>
      </c>
      <c r="BE43" s="243">
        <f t="shared" si="2"/>
        <v>9824589.8160104137</v>
      </c>
      <c r="BF43" s="243">
        <f t="shared" si="2"/>
        <v>10879194.491908463</v>
      </c>
      <c r="BG43" s="243">
        <f t="shared" si="2"/>
        <v>12012894.518498858</v>
      </c>
      <c r="BH43" s="243">
        <f t="shared" si="2"/>
        <v>13231622.047083532</v>
      </c>
      <c r="BI43" s="243">
        <f t="shared" si="2"/>
        <v>14541754.140312066</v>
      </c>
      <c r="BJ43" s="243">
        <f t="shared" si="2"/>
        <v>15950146.140532741</v>
      </c>
    </row>
    <row r="44" spans="1:62" s="228" customFormat="1" ht="14" customHeight="1">
      <c r="A44" s="198" t="s">
        <v>43</v>
      </c>
      <c r="B44" s="199"/>
      <c r="C44" s="210"/>
      <c r="D44" s="210"/>
      <c r="E44" s="210"/>
      <c r="F44" s="210"/>
      <c r="G44" s="210"/>
      <c r="H44" s="244"/>
      <c r="I44" s="244"/>
      <c r="J44" s="244"/>
      <c r="K44" s="244"/>
      <c r="L44" s="244"/>
      <c r="M44" s="244"/>
      <c r="N44" s="244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</row>
    <row r="45" spans="1:62" s="228" customFormat="1" ht="14" customHeight="1">
      <c r="A45" s="187"/>
      <c r="B45" s="187" t="s">
        <v>44</v>
      </c>
      <c r="C45" s="211">
        <f>'Loan Amortization Schedule'!C5+'Loan Amortization Schedule'!C16+'Loan Amortization Schedule'!C27</f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S45" s="211">
        <v>0</v>
      </c>
      <c r="T45" s="211">
        <v>0</v>
      </c>
      <c r="U45" s="211">
        <v>0</v>
      </c>
      <c r="V45" s="211">
        <v>0</v>
      </c>
      <c r="W45" s="211">
        <v>0</v>
      </c>
      <c r="X45" s="211">
        <v>0</v>
      </c>
      <c r="Y45" s="211">
        <v>0</v>
      </c>
      <c r="Z45" s="211">
        <v>0</v>
      </c>
      <c r="AA45" s="211">
        <v>0</v>
      </c>
      <c r="AB45" s="211">
        <v>0</v>
      </c>
      <c r="AC45" s="211">
        <v>0</v>
      </c>
      <c r="AD45" s="211">
        <v>0</v>
      </c>
      <c r="AE45" s="211">
        <v>0</v>
      </c>
      <c r="AF45" s="211">
        <v>0</v>
      </c>
      <c r="AG45" s="211">
        <v>0</v>
      </c>
      <c r="AH45" s="211">
        <v>0</v>
      </c>
      <c r="AI45" s="211">
        <v>0</v>
      </c>
      <c r="AJ45" s="211">
        <v>0</v>
      </c>
      <c r="AK45" s="211">
        <v>0</v>
      </c>
      <c r="AL45" s="211">
        <v>0</v>
      </c>
      <c r="AM45" s="211">
        <v>0</v>
      </c>
      <c r="AN45" s="211">
        <v>0</v>
      </c>
      <c r="AO45" s="211">
        <v>0</v>
      </c>
      <c r="AP45" s="211">
        <v>0</v>
      </c>
      <c r="AQ45" s="211">
        <v>0</v>
      </c>
      <c r="AR45" s="211">
        <v>0</v>
      </c>
      <c r="AS45" s="211">
        <v>0</v>
      </c>
      <c r="AT45" s="211">
        <v>0</v>
      </c>
      <c r="AU45" s="211">
        <v>0</v>
      </c>
      <c r="AV45" s="211">
        <v>0</v>
      </c>
      <c r="AW45" s="211">
        <v>0</v>
      </c>
      <c r="AX45" s="211">
        <v>0</v>
      </c>
      <c r="AY45" s="211">
        <v>0</v>
      </c>
      <c r="AZ45" s="211">
        <v>0</v>
      </c>
      <c r="BA45" s="211">
        <v>0</v>
      </c>
      <c r="BB45" s="211">
        <v>0</v>
      </c>
      <c r="BC45" s="211">
        <v>0</v>
      </c>
      <c r="BD45" s="211">
        <v>0</v>
      </c>
      <c r="BE45" s="211">
        <v>0</v>
      </c>
      <c r="BF45" s="211">
        <v>0</v>
      </c>
      <c r="BG45" s="211">
        <v>0</v>
      </c>
      <c r="BH45" s="211">
        <v>0</v>
      </c>
      <c r="BI45" s="211">
        <v>0</v>
      </c>
      <c r="BJ45" s="211">
        <v>0</v>
      </c>
    </row>
    <row r="46" spans="1:62" s="228" customFormat="1" ht="14" customHeight="1">
      <c r="A46" s="187"/>
      <c r="B46" s="187" t="s">
        <v>45</v>
      </c>
      <c r="C46" s="211">
        <f>'6) Capital '!F10</f>
        <v>30000000</v>
      </c>
      <c r="D46" s="211">
        <f>'6) Capital '!G10</f>
        <v>0</v>
      </c>
      <c r="E46" s="211">
        <f>'6) Capital '!H10</f>
        <v>0</v>
      </c>
      <c r="F46" s="211">
        <f>'6) Capital '!I10</f>
        <v>0</v>
      </c>
      <c r="G46" s="211">
        <f>'6) Capital '!J10</f>
        <v>0</v>
      </c>
      <c r="H46" s="211">
        <f>'6) Capital '!K10</f>
        <v>0</v>
      </c>
      <c r="I46" s="211">
        <f>'6) Capital '!L10</f>
        <v>0</v>
      </c>
      <c r="J46" s="211">
        <f>'6) Capital '!M10</f>
        <v>0</v>
      </c>
      <c r="K46" s="211">
        <f>'6) Capital '!N10</f>
        <v>0</v>
      </c>
      <c r="L46" s="211">
        <f>'6) Capital '!O10</f>
        <v>0</v>
      </c>
      <c r="M46" s="211">
        <f>'6) Capital '!P10</f>
        <v>0</v>
      </c>
      <c r="N46" s="211">
        <f>'6) Capital '!Q10</f>
        <v>0</v>
      </c>
      <c r="O46" s="211">
        <f>'6) Capital '!R10</f>
        <v>0</v>
      </c>
      <c r="P46" s="211">
        <f>'6) Capital '!S10</f>
        <v>0</v>
      </c>
      <c r="Q46" s="211">
        <f>'6) Capital '!T10</f>
        <v>0</v>
      </c>
      <c r="R46" s="211">
        <f>'6) Capital '!U10</f>
        <v>0</v>
      </c>
      <c r="S46" s="211">
        <f>'6) Capital '!V10</f>
        <v>0</v>
      </c>
      <c r="T46" s="211">
        <f>'6) Capital '!W10</f>
        <v>0</v>
      </c>
      <c r="U46" s="211">
        <f>'6) Capital '!X10</f>
        <v>0</v>
      </c>
      <c r="V46" s="211">
        <f>'6) Capital '!Y10</f>
        <v>0</v>
      </c>
      <c r="W46" s="211">
        <f>'6) Capital '!Z10</f>
        <v>0</v>
      </c>
      <c r="X46" s="211">
        <f>'6) Capital '!AA10</f>
        <v>0</v>
      </c>
      <c r="Y46" s="211">
        <f>'6) Capital '!AB10</f>
        <v>0</v>
      </c>
      <c r="Z46" s="211">
        <f>'6) Capital '!AC10</f>
        <v>0</v>
      </c>
      <c r="AA46" s="211">
        <f>'6) Capital '!AD10</f>
        <v>0</v>
      </c>
      <c r="AB46" s="211">
        <f>'6) Capital '!AE10</f>
        <v>0</v>
      </c>
      <c r="AC46" s="211">
        <f>'6) Capital '!AF10</f>
        <v>0</v>
      </c>
      <c r="AD46" s="211">
        <f>'6) Capital '!AG10</f>
        <v>0</v>
      </c>
      <c r="AE46" s="211">
        <f>'6) Capital '!AH10</f>
        <v>0</v>
      </c>
      <c r="AF46" s="211">
        <f>'6) Capital '!AI10</f>
        <v>0</v>
      </c>
      <c r="AG46" s="211">
        <f>'6) Capital '!AJ10</f>
        <v>0</v>
      </c>
      <c r="AH46" s="211">
        <f>'6) Capital '!AK10</f>
        <v>0</v>
      </c>
      <c r="AI46" s="211">
        <f>'6) Capital '!AL10</f>
        <v>0</v>
      </c>
      <c r="AJ46" s="211">
        <f>'6) Capital '!AM10</f>
        <v>0</v>
      </c>
      <c r="AK46" s="211">
        <f>'6) Capital '!AN10</f>
        <v>0</v>
      </c>
      <c r="AL46" s="211">
        <f>'6) Capital '!AO10</f>
        <v>0</v>
      </c>
      <c r="AM46" s="211">
        <f>'6) Capital '!AP10</f>
        <v>0</v>
      </c>
      <c r="AN46" s="211">
        <f>'6) Capital '!AQ10</f>
        <v>0</v>
      </c>
      <c r="AO46" s="211">
        <f>'6) Capital '!AR10</f>
        <v>0</v>
      </c>
      <c r="AP46" s="211">
        <f>'6) Capital '!AS10</f>
        <v>0</v>
      </c>
      <c r="AQ46" s="211">
        <f>'6) Capital '!AT10</f>
        <v>0</v>
      </c>
      <c r="AR46" s="211">
        <f>'6) Capital '!AU10</f>
        <v>0</v>
      </c>
      <c r="AS46" s="211">
        <f>'6) Capital '!AV10</f>
        <v>0</v>
      </c>
      <c r="AT46" s="211">
        <f>'6) Capital '!AW10</f>
        <v>0</v>
      </c>
      <c r="AU46" s="211">
        <f>'6) Capital '!AX10</f>
        <v>0</v>
      </c>
      <c r="AV46" s="211">
        <f>'6) Capital '!AY10</f>
        <v>0</v>
      </c>
      <c r="AW46" s="211">
        <f>'6) Capital '!AZ10</f>
        <v>0</v>
      </c>
      <c r="AX46" s="211">
        <f>'6) Capital '!BA10</f>
        <v>0</v>
      </c>
      <c r="AY46" s="211">
        <f>'6) Capital '!BB10</f>
        <v>0</v>
      </c>
      <c r="AZ46" s="211">
        <f>'6) Capital '!BC10</f>
        <v>0</v>
      </c>
      <c r="BA46" s="211">
        <f>'6) Capital '!BD10</f>
        <v>0</v>
      </c>
      <c r="BB46" s="211">
        <f>'6) Capital '!BE10</f>
        <v>0</v>
      </c>
      <c r="BC46" s="211">
        <f>'6) Capital '!BF10</f>
        <v>0</v>
      </c>
      <c r="BD46" s="211">
        <f>'6) Capital '!BG10</f>
        <v>0</v>
      </c>
      <c r="BE46" s="211">
        <f>'6) Capital '!BH10</f>
        <v>0</v>
      </c>
      <c r="BF46" s="211">
        <f>'6) Capital '!BI10</f>
        <v>0</v>
      </c>
      <c r="BG46" s="211">
        <f>'6) Capital '!BJ10</f>
        <v>0</v>
      </c>
      <c r="BH46" s="211">
        <f>'6) Capital '!BK10</f>
        <v>0</v>
      </c>
      <c r="BI46" s="211">
        <f>'6) Capital '!BL10</f>
        <v>0</v>
      </c>
      <c r="BJ46" s="211">
        <f>'6) Capital '!BM10</f>
        <v>0</v>
      </c>
    </row>
    <row r="47" spans="1:62" s="228" customFormat="1" ht="14" customHeight="1">
      <c r="A47" s="187"/>
      <c r="B47" s="187" t="s">
        <v>46</v>
      </c>
      <c r="C47" s="211">
        <f>-('Loan Amortization Schedule'!D12+'Loan Amortization Schedule'!D23+'Loan Amortization Schedule'!D34+'Loan Amortization Schedule'!D45)</f>
        <v>0</v>
      </c>
      <c r="D47" s="211">
        <f>-('Loan Amortization Schedule'!E12+'Loan Amortization Schedule'!E23+'Loan Amortization Schedule'!E34+'Loan Amortization Schedule'!E45)</f>
        <v>0</v>
      </c>
      <c r="E47" s="211">
        <f>-('Loan Amortization Schedule'!F12+'Loan Amortization Schedule'!F23+'Loan Amortization Schedule'!F34+'Loan Amortization Schedule'!F45)</f>
        <v>0</v>
      </c>
      <c r="F47" s="211">
        <f>-('Loan Amortization Schedule'!G12+'Loan Amortization Schedule'!G23+'Loan Amortization Schedule'!G34+'Loan Amortization Schedule'!G45)</f>
        <v>0</v>
      </c>
      <c r="G47" s="211">
        <f>-('Loan Amortization Schedule'!H12+'Loan Amortization Schedule'!H23+'Loan Amortization Schedule'!H34+'Loan Amortization Schedule'!H45)</f>
        <v>0</v>
      </c>
      <c r="H47" s="211">
        <f>-('Loan Amortization Schedule'!I12+'Loan Amortization Schedule'!I23+'Loan Amortization Schedule'!I34+'Loan Amortization Schedule'!I45)</f>
        <v>0</v>
      </c>
      <c r="I47" s="211">
        <f>-('Loan Amortization Schedule'!J12+'Loan Amortization Schedule'!J23+'Loan Amortization Schedule'!J34+'Loan Amortization Schedule'!J45)</f>
        <v>0</v>
      </c>
      <c r="J47" s="211">
        <f>-('Loan Amortization Schedule'!K12+'Loan Amortization Schedule'!K23+'Loan Amortization Schedule'!K34+'Loan Amortization Schedule'!K45)</f>
        <v>0</v>
      </c>
      <c r="K47" s="211">
        <f>-('Loan Amortization Schedule'!L12+'Loan Amortization Schedule'!L23+'Loan Amortization Schedule'!L34+'Loan Amortization Schedule'!L45)</f>
        <v>0</v>
      </c>
      <c r="L47" s="211">
        <f>-('Loan Amortization Schedule'!M12+'Loan Amortization Schedule'!M23+'Loan Amortization Schedule'!M34+'Loan Amortization Schedule'!M45)</f>
        <v>0</v>
      </c>
      <c r="M47" s="211">
        <f>-('Loan Amortization Schedule'!N12+'Loan Amortization Schedule'!N23+'Loan Amortization Schedule'!N34+'Loan Amortization Schedule'!N45)</f>
        <v>0</v>
      </c>
      <c r="N47" s="211">
        <f>-('Loan Amortization Schedule'!O12+'Loan Amortization Schedule'!O23+'Loan Amortization Schedule'!O34+'Loan Amortization Schedule'!O45)</f>
        <v>0</v>
      </c>
      <c r="O47" s="211">
        <f>-('Loan Amortization Schedule'!P12+'Loan Amortization Schedule'!P23+'Loan Amortization Schedule'!P34+'Loan Amortization Schedule'!P45)</f>
        <v>0</v>
      </c>
      <c r="P47" s="211">
        <f>-('Loan Amortization Schedule'!Q12+'Loan Amortization Schedule'!Q23+'Loan Amortization Schedule'!Q34+'Loan Amortization Schedule'!Q45)</f>
        <v>0</v>
      </c>
      <c r="Q47" s="211">
        <f>-('Loan Amortization Schedule'!R12+'Loan Amortization Schedule'!R23+'Loan Amortization Schedule'!R34+'Loan Amortization Schedule'!R45)</f>
        <v>0</v>
      </c>
      <c r="R47" s="211">
        <f>-('Loan Amortization Schedule'!S12+'Loan Amortization Schedule'!S23+'Loan Amortization Schedule'!S34+'Loan Amortization Schedule'!S45)</f>
        <v>0</v>
      </c>
      <c r="S47" s="211">
        <f>-('Loan Amortization Schedule'!T12+'Loan Amortization Schedule'!T23+'Loan Amortization Schedule'!T34+'Loan Amortization Schedule'!T45)</f>
        <v>0</v>
      </c>
      <c r="T47" s="211">
        <f>-('Loan Amortization Schedule'!U12+'Loan Amortization Schedule'!U23+'Loan Amortization Schedule'!U34+'Loan Amortization Schedule'!U45)</f>
        <v>0</v>
      </c>
      <c r="U47" s="211">
        <f>-('Loan Amortization Schedule'!V12+'Loan Amortization Schedule'!V23+'Loan Amortization Schedule'!V34+'Loan Amortization Schedule'!V45)</f>
        <v>0</v>
      </c>
      <c r="V47" s="211">
        <f>-('Loan Amortization Schedule'!W12+'Loan Amortization Schedule'!W23+'Loan Amortization Schedule'!W34+'Loan Amortization Schedule'!W45)</f>
        <v>0</v>
      </c>
      <c r="W47" s="211">
        <f>-('Loan Amortization Schedule'!X12+'Loan Amortization Schedule'!X23+'Loan Amortization Schedule'!X34+'Loan Amortization Schedule'!X45)</f>
        <v>0</v>
      </c>
      <c r="X47" s="211">
        <f>-('Loan Amortization Schedule'!Y12+'Loan Amortization Schedule'!Y23+'Loan Amortization Schedule'!Y34+'Loan Amortization Schedule'!Y45)</f>
        <v>0</v>
      </c>
      <c r="Y47" s="211">
        <f>-('Loan Amortization Schedule'!Z12+'Loan Amortization Schedule'!Z23+'Loan Amortization Schedule'!Z34+'Loan Amortization Schedule'!Z45)</f>
        <v>0</v>
      </c>
      <c r="Z47" s="211">
        <f>-('Loan Amortization Schedule'!AA12+'Loan Amortization Schedule'!AA23+'Loan Amortization Schedule'!AA34+'Loan Amortization Schedule'!AA45)</f>
        <v>0</v>
      </c>
      <c r="AA47" s="211">
        <f>-('Loan Amortization Schedule'!AB12+'Loan Amortization Schedule'!AB23+'Loan Amortization Schedule'!AB34+'Loan Amortization Schedule'!AB45)</f>
        <v>0</v>
      </c>
      <c r="AB47" s="211">
        <f>-('Loan Amortization Schedule'!AC12+'Loan Amortization Schedule'!AC23+'Loan Amortization Schedule'!AC34+'Loan Amortization Schedule'!AC45)</f>
        <v>0</v>
      </c>
      <c r="AC47" s="211">
        <f>-('Loan Amortization Schedule'!AD12+'Loan Amortization Schedule'!AD23+'Loan Amortization Schedule'!AD34+'Loan Amortization Schedule'!AD45)</f>
        <v>0</v>
      </c>
      <c r="AD47" s="211">
        <f>-('Loan Amortization Schedule'!AE12+'Loan Amortization Schedule'!AE23+'Loan Amortization Schedule'!AE34+'Loan Amortization Schedule'!AE45)</f>
        <v>0</v>
      </c>
      <c r="AE47" s="211">
        <f>-('Loan Amortization Schedule'!AF12+'Loan Amortization Schedule'!AF23+'Loan Amortization Schedule'!AF34+'Loan Amortization Schedule'!AF45)</f>
        <v>0</v>
      </c>
      <c r="AF47" s="211">
        <f>-('Loan Amortization Schedule'!AG12+'Loan Amortization Schedule'!AG23+'Loan Amortization Schedule'!AG34+'Loan Amortization Schedule'!AG45)</f>
        <v>0</v>
      </c>
      <c r="AG47" s="211">
        <f>-('Loan Amortization Schedule'!AH12+'Loan Amortization Schedule'!AH23+'Loan Amortization Schedule'!AH34+'Loan Amortization Schedule'!AH45)</f>
        <v>0</v>
      </c>
      <c r="AH47" s="211">
        <f>-('Loan Amortization Schedule'!AI12+'Loan Amortization Schedule'!AI23+'Loan Amortization Schedule'!AI34+'Loan Amortization Schedule'!AI45)</f>
        <v>0</v>
      </c>
      <c r="AI47" s="211">
        <f>-('Loan Amortization Schedule'!AJ12+'Loan Amortization Schedule'!AJ23+'Loan Amortization Schedule'!AJ34+'Loan Amortization Schedule'!AJ45)</f>
        <v>0</v>
      </c>
      <c r="AJ47" s="211">
        <f>-('Loan Amortization Schedule'!AK12+'Loan Amortization Schedule'!AK23+'Loan Amortization Schedule'!AK34+'Loan Amortization Schedule'!AK45)</f>
        <v>0</v>
      </c>
      <c r="AK47" s="211">
        <f>-('Loan Amortization Schedule'!AL12+'Loan Amortization Schedule'!AL23+'Loan Amortization Schedule'!AL34+'Loan Amortization Schedule'!AL45)</f>
        <v>0</v>
      </c>
      <c r="AL47" s="211">
        <f>-('Loan Amortization Schedule'!AM12+'Loan Amortization Schedule'!AM23+'Loan Amortization Schedule'!AM34+'Loan Amortization Schedule'!AM45)</f>
        <v>0</v>
      </c>
      <c r="AM47" s="211">
        <f>-('Loan Amortization Schedule'!AN12+'Loan Amortization Schedule'!AN23+'Loan Amortization Schedule'!AN34+'Loan Amortization Schedule'!AN45)</f>
        <v>0</v>
      </c>
      <c r="AN47" s="211">
        <f>-('Loan Amortization Schedule'!AO12+'Loan Amortization Schedule'!AO23+'Loan Amortization Schedule'!AO34+'Loan Amortization Schedule'!AO45)</f>
        <v>0</v>
      </c>
      <c r="AO47" s="211">
        <f>-('Loan Amortization Schedule'!AP12+'Loan Amortization Schedule'!AP23+'Loan Amortization Schedule'!AP34+'Loan Amortization Schedule'!AP45)</f>
        <v>0</v>
      </c>
      <c r="AP47" s="211">
        <f>-('Loan Amortization Schedule'!AQ12+'Loan Amortization Schedule'!AQ23+'Loan Amortization Schedule'!AQ34+'Loan Amortization Schedule'!AQ45)</f>
        <v>0</v>
      </c>
      <c r="AQ47" s="211">
        <f>-('Loan Amortization Schedule'!AR12+'Loan Amortization Schedule'!AR23+'Loan Amortization Schedule'!AR34+'Loan Amortization Schedule'!AR45)</f>
        <v>0</v>
      </c>
      <c r="AR47" s="211">
        <f>-('Loan Amortization Schedule'!AS12+'Loan Amortization Schedule'!AS23+'Loan Amortization Schedule'!AS34+'Loan Amortization Schedule'!AS45)</f>
        <v>0</v>
      </c>
      <c r="AS47" s="211">
        <f>-('Loan Amortization Schedule'!AT12+'Loan Amortization Schedule'!AT23+'Loan Amortization Schedule'!AT34+'Loan Amortization Schedule'!AT45)</f>
        <v>0</v>
      </c>
      <c r="AT47" s="211">
        <f>-('Loan Amortization Schedule'!AU12+'Loan Amortization Schedule'!AU23+'Loan Amortization Schedule'!AU34+'Loan Amortization Schedule'!AU45)</f>
        <v>0</v>
      </c>
      <c r="AU47" s="211">
        <f>-('Loan Amortization Schedule'!AV12+'Loan Amortization Schedule'!AV23+'Loan Amortization Schedule'!AV34+'Loan Amortization Schedule'!AV45)</f>
        <v>0</v>
      </c>
      <c r="AV47" s="211">
        <f>-('Loan Amortization Schedule'!AW12+'Loan Amortization Schedule'!AW23+'Loan Amortization Schedule'!AW34+'Loan Amortization Schedule'!AW45)</f>
        <v>0</v>
      </c>
      <c r="AW47" s="211">
        <f>-('Loan Amortization Schedule'!AX12+'Loan Amortization Schedule'!AX23+'Loan Amortization Schedule'!AX34+'Loan Amortization Schedule'!AX45)</f>
        <v>0</v>
      </c>
      <c r="AX47" s="211">
        <f>-('Loan Amortization Schedule'!AY12+'Loan Amortization Schedule'!AY23+'Loan Amortization Schedule'!AY34+'Loan Amortization Schedule'!AY45)</f>
        <v>0</v>
      </c>
      <c r="AY47" s="211">
        <f>-('Loan Amortization Schedule'!AZ12+'Loan Amortization Schedule'!AZ23+'Loan Amortization Schedule'!AZ34+'Loan Amortization Schedule'!AZ45)</f>
        <v>0</v>
      </c>
      <c r="AZ47" s="211">
        <f>-('Loan Amortization Schedule'!BA12+'Loan Amortization Schedule'!BA23+'Loan Amortization Schedule'!BA34+'Loan Amortization Schedule'!BA45)</f>
        <v>0</v>
      </c>
      <c r="BA47" s="211">
        <f>-('Loan Amortization Schedule'!BB12+'Loan Amortization Schedule'!BB23+'Loan Amortization Schedule'!BB34+'Loan Amortization Schedule'!BB45)</f>
        <v>0</v>
      </c>
      <c r="BB47" s="211">
        <f>-('Loan Amortization Schedule'!BC12+'Loan Amortization Schedule'!BC23+'Loan Amortization Schedule'!BC34+'Loan Amortization Schedule'!BC45)</f>
        <v>0</v>
      </c>
      <c r="BC47" s="211">
        <f>-('Loan Amortization Schedule'!BD12+'Loan Amortization Schedule'!BD23+'Loan Amortization Schedule'!BD34+'Loan Amortization Schedule'!BD45)</f>
        <v>0</v>
      </c>
      <c r="BD47" s="211">
        <f>-('Loan Amortization Schedule'!BE12+'Loan Amortization Schedule'!BE23+'Loan Amortization Schedule'!BE34+'Loan Amortization Schedule'!BE45)</f>
        <v>0</v>
      </c>
      <c r="BE47" s="211">
        <f>-('Loan Amortization Schedule'!BF12+'Loan Amortization Schedule'!BF23+'Loan Amortization Schedule'!BF34+'Loan Amortization Schedule'!BF45)</f>
        <v>0</v>
      </c>
      <c r="BF47" s="211">
        <f>-('Loan Amortization Schedule'!BG12+'Loan Amortization Schedule'!BG23+'Loan Amortization Schedule'!BG34+'Loan Amortization Schedule'!BG45)</f>
        <v>0</v>
      </c>
      <c r="BG47" s="211">
        <f>-('Loan Amortization Schedule'!BH12+'Loan Amortization Schedule'!BH23+'Loan Amortization Schedule'!BH34+'Loan Amortization Schedule'!BH45)</f>
        <v>0</v>
      </c>
      <c r="BH47" s="211">
        <f>-('Loan Amortization Schedule'!BI12+'Loan Amortization Schedule'!BI23+'Loan Amortization Schedule'!BI34+'Loan Amortization Schedule'!BI45)</f>
        <v>0</v>
      </c>
      <c r="BI47" s="211">
        <f>-('Loan Amortization Schedule'!BJ12+'Loan Amortization Schedule'!BJ23+'Loan Amortization Schedule'!BJ34+'Loan Amortization Schedule'!BJ45)</f>
        <v>0</v>
      </c>
      <c r="BJ47" s="211">
        <f>-('Loan Amortization Schedule'!BK12+'Loan Amortization Schedule'!BK23+'Loan Amortization Schedule'!BK34+'Loan Amortization Schedule'!BK45)</f>
        <v>0</v>
      </c>
    </row>
    <row r="48" spans="1:62" s="228" customFormat="1" ht="14" customHeight="1">
      <c r="A48" s="187"/>
      <c r="B48" s="187" t="s">
        <v>186</v>
      </c>
      <c r="C48" s="211">
        <f>-'6) Capital '!F17</f>
        <v>0</v>
      </c>
      <c r="D48" s="211">
        <f>-'6) Capital '!G17</f>
        <v>0</v>
      </c>
      <c r="E48" s="211">
        <f>-'6) Capital '!H17</f>
        <v>0</v>
      </c>
      <c r="F48" s="211">
        <f>-'6) Capital '!I17</f>
        <v>0</v>
      </c>
      <c r="G48" s="211">
        <f>-'6) Capital '!J17</f>
        <v>0</v>
      </c>
      <c r="H48" s="211">
        <f>-'6) Capital '!K17</f>
        <v>0</v>
      </c>
      <c r="I48" s="211">
        <f>-'6) Capital '!L17</f>
        <v>0</v>
      </c>
      <c r="J48" s="211">
        <f>-'6) Capital '!M17</f>
        <v>0</v>
      </c>
      <c r="K48" s="211">
        <f>-'6) Capital '!N17</f>
        <v>0</v>
      </c>
      <c r="L48" s="211">
        <f>-'6) Capital '!O17</f>
        <v>0</v>
      </c>
      <c r="M48" s="211">
        <f>-'6) Capital '!P17</f>
        <v>0</v>
      </c>
      <c r="N48" s="211">
        <f>-'6) Capital '!Q17</f>
        <v>0</v>
      </c>
      <c r="O48" s="211">
        <f>-'6) Capital '!R17</f>
        <v>0</v>
      </c>
      <c r="P48" s="211">
        <f>-'6) Capital '!S17</f>
        <v>0</v>
      </c>
      <c r="Q48" s="211">
        <f>-'6) Capital '!T17</f>
        <v>0</v>
      </c>
      <c r="R48" s="211">
        <f>-'6) Capital '!U17</f>
        <v>0</v>
      </c>
      <c r="S48" s="211">
        <f>-'6) Capital '!V17</f>
        <v>0</v>
      </c>
      <c r="T48" s="211">
        <f>-'6) Capital '!W17</f>
        <v>0</v>
      </c>
      <c r="U48" s="211">
        <f>-'6) Capital '!X17</f>
        <v>0</v>
      </c>
      <c r="V48" s="211">
        <f>-'6) Capital '!Y17</f>
        <v>0</v>
      </c>
      <c r="W48" s="211">
        <f>-'6) Capital '!Z17</f>
        <v>0</v>
      </c>
      <c r="X48" s="211">
        <f>-'6) Capital '!AA17</f>
        <v>0</v>
      </c>
      <c r="Y48" s="211">
        <f>-'6) Capital '!AB17</f>
        <v>0</v>
      </c>
      <c r="Z48" s="211">
        <f>-'6) Capital '!AC17</f>
        <v>0</v>
      </c>
      <c r="AA48" s="211">
        <f>-'6) Capital '!AD17</f>
        <v>0</v>
      </c>
      <c r="AB48" s="211">
        <f>-'6) Capital '!AE17</f>
        <v>0</v>
      </c>
      <c r="AC48" s="211">
        <f>-'6) Capital '!AF17</f>
        <v>0</v>
      </c>
      <c r="AD48" s="211">
        <f>-'6) Capital '!AG17</f>
        <v>0</v>
      </c>
      <c r="AE48" s="211">
        <f>-'6) Capital '!AH17</f>
        <v>0</v>
      </c>
      <c r="AF48" s="211">
        <f>-'6) Capital '!AI17</f>
        <v>0</v>
      </c>
      <c r="AG48" s="211">
        <f>-'6) Capital '!AJ17</f>
        <v>0</v>
      </c>
      <c r="AH48" s="211">
        <f>-'6) Capital '!AK17</f>
        <v>0</v>
      </c>
      <c r="AI48" s="211">
        <f>-'6) Capital '!AL17</f>
        <v>0</v>
      </c>
      <c r="AJ48" s="211">
        <f>-'6) Capital '!AM17</f>
        <v>0</v>
      </c>
      <c r="AK48" s="211">
        <f>-'6) Capital '!AN17</f>
        <v>0</v>
      </c>
      <c r="AL48" s="211">
        <f>-'6) Capital '!AO17</f>
        <v>0</v>
      </c>
      <c r="AM48" s="211">
        <f>-'6) Capital '!AP17</f>
        <v>0</v>
      </c>
      <c r="AN48" s="211">
        <f>-'6) Capital '!AQ17</f>
        <v>0</v>
      </c>
      <c r="AO48" s="211">
        <f>-'6) Capital '!AR17</f>
        <v>0</v>
      </c>
      <c r="AP48" s="211">
        <f>-'6) Capital '!AS17</f>
        <v>0</v>
      </c>
      <c r="AQ48" s="211">
        <f>-'6) Capital '!AT17</f>
        <v>0</v>
      </c>
      <c r="AR48" s="211">
        <f>-'6) Capital '!AU17</f>
        <v>0</v>
      </c>
      <c r="AS48" s="211">
        <f>-'6) Capital '!AV17</f>
        <v>0</v>
      </c>
      <c r="AT48" s="211">
        <f>-'6) Capital '!AW17</f>
        <v>0</v>
      </c>
      <c r="AU48" s="211">
        <f>-'6) Capital '!AX17</f>
        <v>0</v>
      </c>
      <c r="AV48" s="211">
        <f>-'6) Capital '!AY17</f>
        <v>0</v>
      </c>
      <c r="AW48" s="211">
        <f>-'6) Capital '!AZ17</f>
        <v>0</v>
      </c>
      <c r="AX48" s="211">
        <f>-'6) Capital '!BA17</f>
        <v>0</v>
      </c>
      <c r="AY48" s="211">
        <f>-'6) Capital '!BB17</f>
        <v>0</v>
      </c>
      <c r="AZ48" s="211">
        <f>-'6) Capital '!BC17</f>
        <v>0</v>
      </c>
      <c r="BA48" s="211">
        <f>-'6) Capital '!BD17</f>
        <v>0</v>
      </c>
      <c r="BB48" s="211">
        <f>-'6) Capital '!BE17</f>
        <v>0</v>
      </c>
      <c r="BC48" s="211">
        <f>-'6) Capital '!BF17</f>
        <v>0</v>
      </c>
      <c r="BD48" s="211">
        <f>-'6) Capital '!BG17</f>
        <v>0</v>
      </c>
      <c r="BE48" s="211">
        <f>-'6) Capital '!BH17</f>
        <v>0</v>
      </c>
      <c r="BF48" s="211">
        <f>-'6) Capital '!BI17</f>
        <v>0</v>
      </c>
      <c r="BG48" s="211">
        <f>-'6) Capital '!BJ17</f>
        <v>0</v>
      </c>
      <c r="BH48" s="211">
        <f>-'6) Capital '!BK17</f>
        <v>0</v>
      </c>
      <c r="BI48" s="211">
        <f>-'6) Capital '!BL17</f>
        <v>0</v>
      </c>
      <c r="BJ48" s="211">
        <f>-'6) Capital '!BM17</f>
        <v>0</v>
      </c>
    </row>
    <row r="49" spans="1:62" s="228" customFormat="1" ht="14" customHeight="1">
      <c r="A49" s="201"/>
      <c r="B49" s="201"/>
      <c r="C49" s="202">
        <f t="shared" ref="C49:AH49" si="3">SUM(C45:C48)</f>
        <v>30000000</v>
      </c>
      <c r="D49" s="202">
        <f t="shared" si="3"/>
        <v>0</v>
      </c>
      <c r="E49" s="202">
        <f t="shared" si="3"/>
        <v>0</v>
      </c>
      <c r="F49" s="202">
        <f t="shared" si="3"/>
        <v>0</v>
      </c>
      <c r="G49" s="202">
        <f t="shared" si="3"/>
        <v>0</v>
      </c>
      <c r="H49" s="202">
        <f t="shared" si="3"/>
        <v>0</v>
      </c>
      <c r="I49" s="202">
        <f t="shared" si="3"/>
        <v>0</v>
      </c>
      <c r="J49" s="202">
        <f t="shared" si="3"/>
        <v>0</v>
      </c>
      <c r="K49" s="202">
        <f t="shared" si="3"/>
        <v>0</v>
      </c>
      <c r="L49" s="202">
        <f t="shared" si="3"/>
        <v>0</v>
      </c>
      <c r="M49" s="202">
        <f t="shared" si="3"/>
        <v>0</v>
      </c>
      <c r="N49" s="202">
        <f t="shared" si="3"/>
        <v>0</v>
      </c>
      <c r="O49" s="202">
        <f t="shared" si="3"/>
        <v>0</v>
      </c>
      <c r="P49" s="202">
        <f t="shared" si="3"/>
        <v>0</v>
      </c>
      <c r="Q49" s="202">
        <f t="shared" si="3"/>
        <v>0</v>
      </c>
      <c r="R49" s="202">
        <f t="shared" si="3"/>
        <v>0</v>
      </c>
      <c r="S49" s="202">
        <f t="shared" si="3"/>
        <v>0</v>
      </c>
      <c r="T49" s="202">
        <f t="shared" si="3"/>
        <v>0</v>
      </c>
      <c r="U49" s="202">
        <f t="shared" si="3"/>
        <v>0</v>
      </c>
      <c r="V49" s="202">
        <f t="shared" si="3"/>
        <v>0</v>
      </c>
      <c r="W49" s="202">
        <f t="shared" si="3"/>
        <v>0</v>
      </c>
      <c r="X49" s="202">
        <f t="shared" si="3"/>
        <v>0</v>
      </c>
      <c r="Y49" s="202">
        <f t="shared" si="3"/>
        <v>0</v>
      </c>
      <c r="Z49" s="202">
        <f t="shared" si="3"/>
        <v>0</v>
      </c>
      <c r="AA49" s="202">
        <f t="shared" si="3"/>
        <v>0</v>
      </c>
      <c r="AB49" s="202">
        <f t="shared" si="3"/>
        <v>0</v>
      </c>
      <c r="AC49" s="202">
        <f t="shared" si="3"/>
        <v>0</v>
      </c>
      <c r="AD49" s="202">
        <f t="shared" si="3"/>
        <v>0</v>
      </c>
      <c r="AE49" s="202">
        <f t="shared" si="3"/>
        <v>0</v>
      </c>
      <c r="AF49" s="202">
        <f t="shared" si="3"/>
        <v>0</v>
      </c>
      <c r="AG49" s="202">
        <f t="shared" si="3"/>
        <v>0</v>
      </c>
      <c r="AH49" s="202">
        <f t="shared" si="3"/>
        <v>0</v>
      </c>
      <c r="AI49" s="202">
        <f t="shared" ref="AI49:BJ49" si="4">SUM(AI45:AI48)</f>
        <v>0</v>
      </c>
      <c r="AJ49" s="202">
        <f t="shared" si="4"/>
        <v>0</v>
      </c>
      <c r="AK49" s="202">
        <f t="shared" si="4"/>
        <v>0</v>
      </c>
      <c r="AL49" s="202">
        <f t="shared" si="4"/>
        <v>0</v>
      </c>
      <c r="AM49" s="202">
        <f t="shared" si="4"/>
        <v>0</v>
      </c>
      <c r="AN49" s="202">
        <f t="shared" si="4"/>
        <v>0</v>
      </c>
      <c r="AO49" s="202">
        <f t="shared" si="4"/>
        <v>0</v>
      </c>
      <c r="AP49" s="202">
        <f t="shared" si="4"/>
        <v>0</v>
      </c>
      <c r="AQ49" s="202">
        <f t="shared" si="4"/>
        <v>0</v>
      </c>
      <c r="AR49" s="202">
        <f t="shared" si="4"/>
        <v>0</v>
      </c>
      <c r="AS49" s="202">
        <f t="shared" si="4"/>
        <v>0</v>
      </c>
      <c r="AT49" s="202">
        <f t="shared" si="4"/>
        <v>0</v>
      </c>
      <c r="AU49" s="202">
        <f t="shared" si="4"/>
        <v>0</v>
      </c>
      <c r="AV49" s="202">
        <f t="shared" si="4"/>
        <v>0</v>
      </c>
      <c r="AW49" s="202">
        <f t="shared" si="4"/>
        <v>0</v>
      </c>
      <c r="AX49" s="202">
        <f t="shared" si="4"/>
        <v>0</v>
      </c>
      <c r="AY49" s="202">
        <f t="shared" si="4"/>
        <v>0</v>
      </c>
      <c r="AZ49" s="202">
        <f t="shared" si="4"/>
        <v>0</v>
      </c>
      <c r="BA49" s="202">
        <f t="shared" si="4"/>
        <v>0</v>
      </c>
      <c r="BB49" s="202">
        <f t="shared" si="4"/>
        <v>0</v>
      </c>
      <c r="BC49" s="202">
        <f t="shared" si="4"/>
        <v>0</v>
      </c>
      <c r="BD49" s="202">
        <f t="shared" si="4"/>
        <v>0</v>
      </c>
      <c r="BE49" s="202">
        <f t="shared" si="4"/>
        <v>0</v>
      </c>
      <c r="BF49" s="202">
        <f t="shared" si="4"/>
        <v>0</v>
      </c>
      <c r="BG49" s="202">
        <f t="shared" si="4"/>
        <v>0</v>
      </c>
      <c r="BH49" s="202">
        <f t="shared" si="4"/>
        <v>0</v>
      </c>
      <c r="BI49" s="202">
        <f t="shared" si="4"/>
        <v>0</v>
      </c>
      <c r="BJ49" s="202">
        <f t="shared" si="4"/>
        <v>0</v>
      </c>
    </row>
    <row r="50" spans="1:62" s="228" customFormat="1" ht="14" customHeight="1">
      <c r="A50" s="198" t="s">
        <v>63</v>
      </c>
      <c r="B50" s="199"/>
      <c r="C50" s="210"/>
      <c r="D50" s="210"/>
      <c r="E50" s="210"/>
      <c r="F50" s="210"/>
      <c r="G50" s="210"/>
      <c r="H50" s="244"/>
      <c r="I50" s="244"/>
      <c r="J50" s="244"/>
      <c r="K50" s="244"/>
      <c r="L50" s="244"/>
      <c r="M50" s="244"/>
      <c r="N50" s="244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</row>
    <row r="51" spans="1:62" s="228" customFormat="1" ht="14" customHeight="1">
      <c r="A51" s="187"/>
      <c r="B51" s="187" t="s">
        <v>47</v>
      </c>
      <c r="C51" s="212">
        <f>-'5) Amortization of PPE'!C6+-'5) Amortization of PPE'!C24+-'5) Amortization of PPE'!F6</f>
        <v>-25000000</v>
      </c>
      <c r="D51" s="212">
        <f>-'5) Amortization of PPE'!G6</f>
        <v>0</v>
      </c>
      <c r="E51" s="212">
        <f>-'5) Amortization of PPE'!H6</f>
        <v>0</v>
      </c>
      <c r="F51" s="212">
        <f>-'5) Amortization of PPE'!I6</f>
        <v>0</v>
      </c>
      <c r="G51" s="212">
        <f>-'5) Amortization of PPE'!J6</f>
        <v>0</v>
      </c>
      <c r="H51" s="212">
        <f>-'5) Amortization of PPE'!K6</f>
        <v>0</v>
      </c>
      <c r="I51" s="212">
        <f>-'5) Amortization of PPE'!L6</f>
        <v>0</v>
      </c>
      <c r="J51" s="212">
        <f>-'5) Amortization of PPE'!M6</f>
        <v>0</v>
      </c>
      <c r="K51" s="212">
        <f>-'5) Amortization of PPE'!N6</f>
        <v>0</v>
      </c>
      <c r="L51" s="212">
        <f>-'5) Amortization of PPE'!O6</f>
        <v>0</v>
      </c>
      <c r="M51" s="212">
        <f>-'5) Amortization of PPE'!P6</f>
        <v>0</v>
      </c>
      <c r="N51" s="212">
        <f>-'5) Amortization of PPE'!Q6</f>
        <v>0</v>
      </c>
      <c r="O51" s="212">
        <f>-'5) Amortization of PPE'!R6</f>
        <v>0</v>
      </c>
      <c r="P51" s="212">
        <f>-'5) Amortization of PPE'!S6</f>
        <v>0</v>
      </c>
      <c r="Q51" s="212">
        <f>-'5) Amortization of PPE'!T6</f>
        <v>0</v>
      </c>
      <c r="R51" s="212">
        <f>-'5) Amortization of PPE'!U6</f>
        <v>0</v>
      </c>
      <c r="S51" s="212">
        <f>-'5) Amortization of PPE'!V6</f>
        <v>0</v>
      </c>
      <c r="T51" s="212">
        <f>-'5) Amortization of PPE'!W6</f>
        <v>0</v>
      </c>
      <c r="U51" s="212">
        <f>-'5) Amortization of PPE'!X6</f>
        <v>0</v>
      </c>
      <c r="V51" s="212">
        <f>-'5) Amortization of PPE'!Y6</f>
        <v>0</v>
      </c>
      <c r="W51" s="212">
        <f>-'5) Amortization of PPE'!Z6</f>
        <v>0</v>
      </c>
      <c r="X51" s="212">
        <f>-'5) Amortization of PPE'!AA6</f>
        <v>0</v>
      </c>
      <c r="Y51" s="212">
        <f>-'5) Amortization of PPE'!AB6</f>
        <v>0</v>
      </c>
      <c r="Z51" s="212">
        <f>-'5) Amortization of PPE'!AC6</f>
        <v>0</v>
      </c>
      <c r="AA51" s="212">
        <f>-'5) Amortization of PPE'!AD6</f>
        <v>0</v>
      </c>
      <c r="AB51" s="212">
        <f>-'5) Amortization of PPE'!AE6</f>
        <v>0</v>
      </c>
      <c r="AC51" s="212">
        <f>-'5) Amortization of PPE'!AF6</f>
        <v>0</v>
      </c>
      <c r="AD51" s="212">
        <f>-'5) Amortization of PPE'!AG6</f>
        <v>0</v>
      </c>
      <c r="AE51" s="212">
        <f>-'5) Amortization of PPE'!AH6</f>
        <v>0</v>
      </c>
      <c r="AF51" s="212">
        <f>-'5) Amortization of PPE'!AI6</f>
        <v>0</v>
      </c>
      <c r="AG51" s="212">
        <f>-'5) Amortization of PPE'!AJ6</f>
        <v>0</v>
      </c>
      <c r="AH51" s="212">
        <f>-'5) Amortization of PPE'!AK6</f>
        <v>0</v>
      </c>
      <c r="AI51" s="212">
        <f>-'5) Amortization of PPE'!AL6</f>
        <v>0</v>
      </c>
      <c r="AJ51" s="212">
        <f>-'5) Amortization of PPE'!AM6</f>
        <v>0</v>
      </c>
      <c r="AK51" s="212">
        <f>-'5) Amortization of PPE'!AN6</f>
        <v>0</v>
      </c>
      <c r="AL51" s="212">
        <f>-'5) Amortization of PPE'!AO6</f>
        <v>0</v>
      </c>
      <c r="AM51" s="212">
        <f>-'5) Amortization of PPE'!AP6</f>
        <v>0</v>
      </c>
      <c r="AN51" s="212">
        <f>-'5) Amortization of PPE'!AQ6</f>
        <v>0</v>
      </c>
      <c r="AO51" s="212">
        <f>-'5) Amortization of PPE'!AR6</f>
        <v>0</v>
      </c>
      <c r="AP51" s="212">
        <f>-'5) Amortization of PPE'!AS6</f>
        <v>0</v>
      </c>
      <c r="AQ51" s="212">
        <f>-'5) Amortization of PPE'!AT6</f>
        <v>0</v>
      </c>
      <c r="AR51" s="212">
        <f>-'5) Amortization of PPE'!AU6</f>
        <v>0</v>
      </c>
      <c r="AS51" s="212">
        <f>-'5) Amortization of PPE'!AV6</f>
        <v>0</v>
      </c>
      <c r="AT51" s="212">
        <f>-'5) Amortization of PPE'!AW6</f>
        <v>0</v>
      </c>
      <c r="AU51" s="212">
        <f>-'5) Amortization of PPE'!AX6</f>
        <v>0</v>
      </c>
      <c r="AV51" s="212">
        <f>-'5) Amortization of PPE'!AY6</f>
        <v>0</v>
      </c>
      <c r="AW51" s="212">
        <f>-'5) Amortization of PPE'!AZ6</f>
        <v>0</v>
      </c>
      <c r="AX51" s="212">
        <f>-'5) Amortization of PPE'!BA6</f>
        <v>0</v>
      </c>
      <c r="AY51" s="212">
        <f>-'5) Amortization of PPE'!BB6</f>
        <v>0</v>
      </c>
      <c r="AZ51" s="212">
        <f>-'5) Amortization of PPE'!BC6</f>
        <v>0</v>
      </c>
      <c r="BA51" s="212">
        <f>-'5) Amortization of PPE'!BD6</f>
        <v>0</v>
      </c>
      <c r="BB51" s="212">
        <f>-'5) Amortization of PPE'!BE6</f>
        <v>0</v>
      </c>
      <c r="BC51" s="212">
        <f>-'5) Amortization of PPE'!BF6</f>
        <v>0</v>
      </c>
      <c r="BD51" s="212">
        <f>-'5) Amortization of PPE'!BG6</f>
        <v>0</v>
      </c>
      <c r="BE51" s="212">
        <f>-'5) Amortization of PPE'!BH6</f>
        <v>0</v>
      </c>
      <c r="BF51" s="212">
        <f>-'5) Amortization of PPE'!BI6</f>
        <v>0</v>
      </c>
      <c r="BG51" s="212">
        <f>-'5) Amortization of PPE'!BJ6</f>
        <v>0</v>
      </c>
      <c r="BH51" s="212">
        <f>-'5) Amortization of PPE'!BK6</f>
        <v>0</v>
      </c>
      <c r="BI51" s="212">
        <f>-'5) Amortization of PPE'!BL6</f>
        <v>0</v>
      </c>
      <c r="BJ51" s="212">
        <f>-'5) Amortization of PPE'!BM6</f>
        <v>0</v>
      </c>
    </row>
    <row r="52" spans="1:62" s="228" customFormat="1" ht="14" customHeight="1">
      <c r="A52" s="201"/>
      <c r="B52" s="201"/>
      <c r="C52" s="202">
        <f t="shared" ref="C52:AH52" si="5">SUM(C51)</f>
        <v>-25000000</v>
      </c>
      <c r="D52" s="202">
        <f t="shared" si="5"/>
        <v>0</v>
      </c>
      <c r="E52" s="202">
        <f t="shared" si="5"/>
        <v>0</v>
      </c>
      <c r="F52" s="202">
        <f t="shared" si="5"/>
        <v>0</v>
      </c>
      <c r="G52" s="202">
        <f t="shared" si="5"/>
        <v>0</v>
      </c>
      <c r="H52" s="202">
        <f t="shared" si="5"/>
        <v>0</v>
      </c>
      <c r="I52" s="202">
        <f t="shared" si="5"/>
        <v>0</v>
      </c>
      <c r="J52" s="202">
        <f t="shared" si="5"/>
        <v>0</v>
      </c>
      <c r="K52" s="202">
        <f t="shared" si="5"/>
        <v>0</v>
      </c>
      <c r="L52" s="202">
        <f t="shared" si="5"/>
        <v>0</v>
      </c>
      <c r="M52" s="202">
        <f t="shared" si="5"/>
        <v>0</v>
      </c>
      <c r="N52" s="202">
        <f t="shared" si="5"/>
        <v>0</v>
      </c>
      <c r="O52" s="246">
        <f t="shared" si="5"/>
        <v>0</v>
      </c>
      <c r="P52" s="246">
        <f t="shared" si="5"/>
        <v>0</v>
      </c>
      <c r="Q52" s="246">
        <f t="shared" si="5"/>
        <v>0</v>
      </c>
      <c r="R52" s="246">
        <f t="shared" si="5"/>
        <v>0</v>
      </c>
      <c r="S52" s="246">
        <f t="shared" si="5"/>
        <v>0</v>
      </c>
      <c r="T52" s="246">
        <f t="shared" si="5"/>
        <v>0</v>
      </c>
      <c r="U52" s="246">
        <f t="shared" si="5"/>
        <v>0</v>
      </c>
      <c r="V52" s="246">
        <f t="shared" si="5"/>
        <v>0</v>
      </c>
      <c r="W52" s="246">
        <f t="shared" si="5"/>
        <v>0</v>
      </c>
      <c r="X52" s="246">
        <f t="shared" si="5"/>
        <v>0</v>
      </c>
      <c r="Y52" s="246">
        <f t="shared" si="5"/>
        <v>0</v>
      </c>
      <c r="Z52" s="246">
        <f t="shared" si="5"/>
        <v>0</v>
      </c>
      <c r="AA52" s="246">
        <f t="shared" si="5"/>
        <v>0</v>
      </c>
      <c r="AB52" s="246">
        <f t="shared" si="5"/>
        <v>0</v>
      </c>
      <c r="AC52" s="246">
        <f t="shared" si="5"/>
        <v>0</v>
      </c>
      <c r="AD52" s="246">
        <f t="shared" si="5"/>
        <v>0</v>
      </c>
      <c r="AE52" s="246">
        <f t="shared" si="5"/>
        <v>0</v>
      </c>
      <c r="AF52" s="246">
        <f t="shared" si="5"/>
        <v>0</v>
      </c>
      <c r="AG52" s="246">
        <f t="shared" si="5"/>
        <v>0</v>
      </c>
      <c r="AH52" s="246">
        <f t="shared" si="5"/>
        <v>0</v>
      </c>
      <c r="AI52" s="246">
        <f t="shared" ref="AI52:BJ52" si="6">SUM(AI51)</f>
        <v>0</v>
      </c>
      <c r="AJ52" s="246">
        <f t="shared" si="6"/>
        <v>0</v>
      </c>
      <c r="AK52" s="246">
        <f t="shared" si="6"/>
        <v>0</v>
      </c>
      <c r="AL52" s="246">
        <f t="shared" si="6"/>
        <v>0</v>
      </c>
      <c r="AM52" s="246">
        <f t="shared" si="6"/>
        <v>0</v>
      </c>
      <c r="AN52" s="246">
        <f t="shared" si="6"/>
        <v>0</v>
      </c>
      <c r="AO52" s="246">
        <f t="shared" si="6"/>
        <v>0</v>
      </c>
      <c r="AP52" s="246">
        <f t="shared" si="6"/>
        <v>0</v>
      </c>
      <c r="AQ52" s="246">
        <f t="shared" si="6"/>
        <v>0</v>
      </c>
      <c r="AR52" s="246">
        <f t="shared" si="6"/>
        <v>0</v>
      </c>
      <c r="AS52" s="246">
        <f t="shared" si="6"/>
        <v>0</v>
      </c>
      <c r="AT52" s="246">
        <f t="shared" si="6"/>
        <v>0</v>
      </c>
      <c r="AU52" s="246">
        <f t="shared" si="6"/>
        <v>0</v>
      </c>
      <c r="AV52" s="246">
        <f t="shared" si="6"/>
        <v>0</v>
      </c>
      <c r="AW52" s="246">
        <f t="shared" si="6"/>
        <v>0</v>
      </c>
      <c r="AX52" s="246">
        <f t="shared" si="6"/>
        <v>0</v>
      </c>
      <c r="AY52" s="246">
        <f t="shared" si="6"/>
        <v>0</v>
      </c>
      <c r="AZ52" s="246">
        <f t="shared" si="6"/>
        <v>0</v>
      </c>
      <c r="BA52" s="246">
        <f t="shared" si="6"/>
        <v>0</v>
      </c>
      <c r="BB52" s="246">
        <f t="shared" si="6"/>
        <v>0</v>
      </c>
      <c r="BC52" s="246">
        <f t="shared" si="6"/>
        <v>0</v>
      </c>
      <c r="BD52" s="246">
        <f t="shared" si="6"/>
        <v>0</v>
      </c>
      <c r="BE52" s="246">
        <f t="shared" si="6"/>
        <v>0</v>
      </c>
      <c r="BF52" s="246">
        <f t="shared" si="6"/>
        <v>0</v>
      </c>
      <c r="BG52" s="246">
        <f t="shared" si="6"/>
        <v>0</v>
      </c>
      <c r="BH52" s="246">
        <f t="shared" si="6"/>
        <v>0</v>
      </c>
      <c r="BI52" s="246">
        <f t="shared" si="6"/>
        <v>0</v>
      </c>
      <c r="BJ52" s="246">
        <f t="shared" si="6"/>
        <v>0</v>
      </c>
    </row>
    <row r="53" spans="1:62" s="228" customFormat="1" ht="14" customHeight="1">
      <c r="A53" s="187"/>
      <c r="B53" s="187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</row>
    <row r="54" spans="1:62" s="228" customFormat="1" ht="14" customHeight="1">
      <c r="A54" s="187"/>
      <c r="B54" s="187" t="s">
        <v>48</v>
      </c>
      <c r="C54" s="213">
        <f t="shared" ref="C54:AH54" si="7">C43+C49+C52</f>
        <v>4909262.2950819656</v>
      </c>
      <c r="D54" s="213">
        <f t="shared" si="7"/>
        <v>-118669.05737704912</v>
      </c>
      <c r="E54" s="213">
        <f t="shared" si="7"/>
        <v>-88756.736680327813</v>
      </c>
      <c r="F54" s="213">
        <f t="shared" si="7"/>
        <v>-56600.991931352481</v>
      </c>
      <c r="G54" s="213">
        <f t="shared" si="7"/>
        <v>-22033.566326203847</v>
      </c>
      <c r="H54" s="213">
        <f t="shared" si="7"/>
        <v>15126.416199330684</v>
      </c>
      <c r="I54" s="213">
        <f t="shared" si="7"/>
        <v>55073.397414280655</v>
      </c>
      <c r="J54" s="213">
        <f t="shared" si="7"/>
        <v>98016.40222035168</v>
      </c>
      <c r="K54" s="213">
        <f t="shared" si="7"/>
        <v>144180.13238687799</v>
      </c>
      <c r="L54" s="213">
        <f t="shared" si="7"/>
        <v>193806.14231589367</v>
      </c>
      <c r="M54" s="213">
        <f t="shared" si="7"/>
        <v>247154.10298958581</v>
      </c>
      <c r="N54" s="213">
        <f t="shared" si="7"/>
        <v>304503.16071380465</v>
      </c>
      <c r="O54" s="247">
        <f t="shared" si="7"/>
        <v>360118.56170176598</v>
      </c>
      <c r="P54" s="247">
        <f t="shared" si="7"/>
        <v>64302.402599890513</v>
      </c>
      <c r="Q54" s="247">
        <f t="shared" si="7"/>
        <v>135546.95779488201</v>
      </c>
      <c r="R54" s="247">
        <f t="shared" si="7"/>
        <v>194003.71014450261</v>
      </c>
      <c r="S54" s="247">
        <f t="shared" si="7"/>
        <v>256832.62903034073</v>
      </c>
      <c r="T54" s="247">
        <f t="shared" si="7"/>
        <v>324373.71683261613</v>
      </c>
      <c r="U54" s="247">
        <f t="shared" si="7"/>
        <v>396980.38622006204</v>
      </c>
      <c r="V54" s="247">
        <f t="shared" si="7"/>
        <v>475032.55581156712</v>
      </c>
      <c r="W54" s="247">
        <f t="shared" si="7"/>
        <v>558938.63812243391</v>
      </c>
      <c r="X54" s="247">
        <f t="shared" si="7"/>
        <v>649137.67660661647</v>
      </c>
      <c r="Y54" s="247">
        <f t="shared" si="7"/>
        <v>746101.64297711349</v>
      </c>
      <c r="Z54" s="247">
        <f t="shared" si="7"/>
        <v>850337.90682539647</v>
      </c>
      <c r="AA54" s="247">
        <f t="shared" si="7"/>
        <v>1101343.2762204974</v>
      </c>
      <c r="AB54" s="247">
        <f t="shared" si="7"/>
        <v>540500.07912197395</v>
      </c>
      <c r="AC54" s="247">
        <f t="shared" si="7"/>
        <v>669992.46396237065</v>
      </c>
      <c r="AD54" s="247">
        <f t="shared" si="7"/>
        <v>809196.77766579925</v>
      </c>
      <c r="AE54" s="247">
        <f t="shared" si="7"/>
        <v>958841.41489698412</v>
      </c>
      <c r="AF54" s="247">
        <f t="shared" si="7"/>
        <v>1119709.3999205078</v>
      </c>
      <c r="AG54" s="247">
        <f t="shared" si="7"/>
        <v>1292642.4838207958</v>
      </c>
      <c r="AH54" s="247">
        <f t="shared" si="7"/>
        <v>1478545.5490136065</v>
      </c>
      <c r="AI54" s="247">
        <f t="shared" ref="AI54:BJ54" si="8">AI43+AI49+AI52</f>
        <v>1678391.3440958753</v>
      </c>
      <c r="AJ54" s="247">
        <f t="shared" si="8"/>
        <v>1893225.5738093173</v>
      </c>
      <c r="AK54" s="247">
        <f t="shared" si="8"/>
        <v>2124172.370751265</v>
      </c>
      <c r="AL54" s="247">
        <f t="shared" si="8"/>
        <v>2372440.1774638598</v>
      </c>
      <c r="AM54" s="247">
        <f t="shared" si="8"/>
        <v>2905359.0078202691</v>
      </c>
      <c r="AN54" s="247">
        <f t="shared" si="8"/>
        <v>1887870.5616246411</v>
      </c>
      <c r="AO54" s="247">
        <f t="shared" si="8"/>
        <v>2196292.8820668007</v>
      </c>
      <c r="AP54" s="247">
        <f t="shared" si="8"/>
        <v>2527846.876542124</v>
      </c>
      <c r="AQ54" s="247">
        <f t="shared" si="8"/>
        <v>2884267.420603096</v>
      </c>
      <c r="AR54" s="247">
        <f t="shared" si="8"/>
        <v>3267419.50546864</v>
      </c>
      <c r="AS54" s="247">
        <f t="shared" si="8"/>
        <v>3679307.9966991004</v>
      </c>
      <c r="AT54" s="247">
        <f t="shared" si="8"/>
        <v>4122088.1247718469</v>
      </c>
      <c r="AU54" s="247">
        <f t="shared" si="8"/>
        <v>4598076.762450044</v>
      </c>
      <c r="AV54" s="247">
        <f t="shared" si="8"/>
        <v>5109764.5479541132</v>
      </c>
      <c r="AW54" s="247">
        <f t="shared" si="8"/>
        <v>5659828.9173709815</v>
      </c>
      <c r="AX54" s="247">
        <f t="shared" si="8"/>
        <v>6251148.1144941188</v>
      </c>
      <c r="AY54" s="247">
        <f t="shared" si="8"/>
        <v>7402392.7352962112</v>
      </c>
      <c r="AZ54" s="247">
        <f t="shared" si="8"/>
        <v>5557780.6802175418</v>
      </c>
      <c r="BA54" s="247">
        <f t="shared" si="8"/>
        <v>6292374.6709311176</v>
      </c>
      <c r="BB54" s="247">
        <f t="shared" si="8"/>
        <v>7082063.2109482158</v>
      </c>
      <c r="BC54" s="247">
        <f t="shared" si="8"/>
        <v>7930978.3914666008</v>
      </c>
      <c r="BD54" s="247">
        <f t="shared" si="8"/>
        <v>8843562.2105238568</v>
      </c>
      <c r="BE54" s="247">
        <f t="shared" si="8"/>
        <v>9824589.8160104137</v>
      </c>
      <c r="BF54" s="247">
        <f t="shared" si="8"/>
        <v>10879194.491908463</v>
      </c>
      <c r="BG54" s="247">
        <f t="shared" si="8"/>
        <v>12012894.518498858</v>
      </c>
      <c r="BH54" s="247">
        <f t="shared" si="8"/>
        <v>13231622.047083532</v>
      </c>
      <c r="BI54" s="247">
        <f t="shared" si="8"/>
        <v>14541754.140312066</v>
      </c>
      <c r="BJ54" s="247">
        <f t="shared" si="8"/>
        <v>15950146.140532741</v>
      </c>
    </row>
    <row r="55" spans="1:62" s="228" customFormat="1" ht="14" customHeight="1">
      <c r="A55" s="187"/>
      <c r="B55" s="187" t="s">
        <v>49</v>
      </c>
      <c r="C55" s="211">
        <f>'8) Opening Balance Sheet'!C7</f>
        <v>0</v>
      </c>
      <c r="D55" s="211">
        <f t="shared" ref="D55:AI55" si="9">C56</f>
        <v>4909262.2950819656</v>
      </c>
      <c r="E55" s="211">
        <f t="shared" si="9"/>
        <v>4790593.2377049169</v>
      </c>
      <c r="F55" s="211">
        <f t="shared" si="9"/>
        <v>4701836.5010245889</v>
      </c>
      <c r="G55" s="211">
        <f t="shared" si="9"/>
        <v>4645235.5090932362</v>
      </c>
      <c r="H55" s="211">
        <f t="shared" si="9"/>
        <v>4623201.9427670324</v>
      </c>
      <c r="I55" s="211">
        <f t="shared" si="9"/>
        <v>4638328.3589663627</v>
      </c>
      <c r="J55" s="211">
        <f t="shared" si="9"/>
        <v>4693401.7563806437</v>
      </c>
      <c r="K55" s="211">
        <f t="shared" si="9"/>
        <v>4791418.1586009953</v>
      </c>
      <c r="L55" s="211">
        <f t="shared" si="9"/>
        <v>4935598.2909878734</v>
      </c>
      <c r="M55" s="211">
        <f t="shared" si="9"/>
        <v>5129404.4333037669</v>
      </c>
      <c r="N55" s="211">
        <f t="shared" si="9"/>
        <v>5376558.536293353</v>
      </c>
      <c r="O55" s="245">
        <f t="shared" si="9"/>
        <v>5681061.6970071578</v>
      </c>
      <c r="P55" s="245">
        <f t="shared" si="9"/>
        <v>6041180.2587089241</v>
      </c>
      <c r="Q55" s="245">
        <f t="shared" si="9"/>
        <v>6105482.6613088148</v>
      </c>
      <c r="R55" s="245">
        <f t="shared" si="9"/>
        <v>6241029.6191036971</v>
      </c>
      <c r="S55" s="245">
        <f t="shared" si="9"/>
        <v>6435033.3292482002</v>
      </c>
      <c r="T55" s="245">
        <f t="shared" si="9"/>
        <v>6691865.9582785405</v>
      </c>
      <c r="U55" s="245">
        <f t="shared" si="9"/>
        <v>7016239.6751111569</v>
      </c>
      <c r="V55" s="245">
        <f t="shared" si="9"/>
        <v>7413220.061331219</v>
      </c>
      <c r="W55" s="245">
        <f t="shared" si="9"/>
        <v>7888252.6171427863</v>
      </c>
      <c r="X55" s="245">
        <f t="shared" si="9"/>
        <v>8447191.255265221</v>
      </c>
      <c r="Y55" s="245">
        <f t="shared" si="9"/>
        <v>9096328.931871837</v>
      </c>
      <c r="Z55" s="245">
        <f t="shared" si="9"/>
        <v>9842430.5748489499</v>
      </c>
      <c r="AA55" s="245">
        <f t="shared" si="9"/>
        <v>10692768.481674347</v>
      </c>
      <c r="AB55" s="245">
        <f t="shared" si="9"/>
        <v>11794111.757894844</v>
      </c>
      <c r="AC55" s="245">
        <f t="shared" si="9"/>
        <v>12334611.837016817</v>
      </c>
      <c r="AD55" s="245">
        <f t="shared" si="9"/>
        <v>13004604.300979188</v>
      </c>
      <c r="AE55" s="245">
        <f t="shared" si="9"/>
        <v>13813801.078644987</v>
      </c>
      <c r="AF55" s="245">
        <f t="shared" si="9"/>
        <v>14772642.493541971</v>
      </c>
      <c r="AG55" s="245">
        <f t="shared" si="9"/>
        <v>15892351.893462479</v>
      </c>
      <c r="AH55" s="245">
        <f t="shared" si="9"/>
        <v>17184994.377283275</v>
      </c>
      <c r="AI55" s="245">
        <f t="shared" si="9"/>
        <v>18663539.926296882</v>
      </c>
      <c r="AJ55" s="245">
        <f t="shared" ref="AJ55:BJ55" si="10">AI56</f>
        <v>20341931.270392757</v>
      </c>
      <c r="AK55" s="245">
        <f t="shared" si="10"/>
        <v>22235156.844202075</v>
      </c>
      <c r="AL55" s="245">
        <f t="shared" si="10"/>
        <v>24359329.214953341</v>
      </c>
      <c r="AM55" s="245">
        <f t="shared" si="10"/>
        <v>26731769.3924172</v>
      </c>
      <c r="AN55" s="245">
        <f t="shared" si="10"/>
        <v>29637128.400237471</v>
      </c>
      <c r="AO55" s="245">
        <f t="shared" si="10"/>
        <v>31524998.961862113</v>
      </c>
      <c r="AP55" s="245">
        <f t="shared" si="10"/>
        <v>33721291.843928911</v>
      </c>
      <c r="AQ55" s="245">
        <f t="shared" si="10"/>
        <v>36249138.720471032</v>
      </c>
      <c r="AR55" s="245">
        <f t="shared" si="10"/>
        <v>39133406.141074128</v>
      </c>
      <c r="AS55" s="245">
        <f t="shared" si="10"/>
        <v>42400825.646542765</v>
      </c>
      <c r="AT55" s="245">
        <f t="shared" si="10"/>
        <v>46080133.643241867</v>
      </c>
      <c r="AU55" s="245">
        <f t="shared" si="10"/>
        <v>50202221.768013716</v>
      </c>
      <c r="AV55" s="245">
        <f t="shared" si="10"/>
        <v>54800298.530463763</v>
      </c>
      <c r="AW55" s="245">
        <f t="shared" si="10"/>
        <v>59910063.078417875</v>
      </c>
      <c r="AX55" s="245">
        <f t="shared" si="10"/>
        <v>65569891.995788857</v>
      </c>
      <c r="AY55" s="245">
        <f t="shared" si="10"/>
        <v>71821040.110282972</v>
      </c>
      <c r="AZ55" s="245">
        <f t="shared" si="10"/>
        <v>79223432.845579177</v>
      </c>
      <c r="BA55" s="245">
        <f t="shared" si="10"/>
        <v>84781213.525796711</v>
      </c>
      <c r="BB55" s="245">
        <f t="shared" si="10"/>
        <v>91073588.196727827</v>
      </c>
      <c r="BC55" s="245">
        <f t="shared" si="10"/>
        <v>98155651.407676041</v>
      </c>
      <c r="BD55" s="245">
        <f t="shared" si="10"/>
        <v>106086629.79914264</v>
      </c>
      <c r="BE55" s="245">
        <f t="shared" si="10"/>
        <v>114930192.0096665</v>
      </c>
      <c r="BF55" s="245">
        <f t="shared" si="10"/>
        <v>124754781.82567692</v>
      </c>
      <c r="BG55" s="245">
        <f t="shared" si="10"/>
        <v>135633976.31758538</v>
      </c>
      <c r="BH55" s="245">
        <f t="shared" si="10"/>
        <v>147646870.83608425</v>
      </c>
      <c r="BI55" s="245">
        <f t="shared" si="10"/>
        <v>160878492.88316777</v>
      </c>
      <c r="BJ55" s="245">
        <f t="shared" si="10"/>
        <v>175420247.02347985</v>
      </c>
    </row>
    <row r="56" spans="1:62" s="228" customFormat="1" ht="14" customHeight="1" thickBot="1">
      <c r="A56" s="194"/>
      <c r="B56" s="193" t="s">
        <v>50</v>
      </c>
      <c r="C56" s="214">
        <f t="shared" ref="C56:AH56" si="11">C54+C55</f>
        <v>4909262.2950819656</v>
      </c>
      <c r="D56" s="214">
        <f t="shared" si="11"/>
        <v>4790593.2377049169</v>
      </c>
      <c r="E56" s="214">
        <f t="shared" si="11"/>
        <v>4701836.5010245889</v>
      </c>
      <c r="F56" s="214">
        <f t="shared" si="11"/>
        <v>4645235.5090932362</v>
      </c>
      <c r="G56" s="214">
        <f t="shared" si="11"/>
        <v>4623201.9427670324</v>
      </c>
      <c r="H56" s="214">
        <f t="shared" si="11"/>
        <v>4638328.3589663627</v>
      </c>
      <c r="I56" s="214">
        <f t="shared" si="11"/>
        <v>4693401.7563806437</v>
      </c>
      <c r="J56" s="214">
        <f t="shared" si="11"/>
        <v>4791418.1586009953</v>
      </c>
      <c r="K56" s="214">
        <f t="shared" si="11"/>
        <v>4935598.2909878734</v>
      </c>
      <c r="L56" s="214">
        <f t="shared" si="11"/>
        <v>5129404.4333037669</v>
      </c>
      <c r="M56" s="214">
        <f t="shared" si="11"/>
        <v>5376558.536293353</v>
      </c>
      <c r="N56" s="214">
        <f t="shared" si="11"/>
        <v>5681061.6970071578</v>
      </c>
      <c r="O56" s="214">
        <f t="shared" si="11"/>
        <v>6041180.2587089241</v>
      </c>
      <c r="P56" s="214">
        <f t="shared" si="11"/>
        <v>6105482.6613088148</v>
      </c>
      <c r="Q56" s="214">
        <f t="shared" si="11"/>
        <v>6241029.6191036971</v>
      </c>
      <c r="R56" s="214">
        <f t="shared" si="11"/>
        <v>6435033.3292482002</v>
      </c>
      <c r="S56" s="214">
        <f t="shared" si="11"/>
        <v>6691865.9582785405</v>
      </c>
      <c r="T56" s="214">
        <f t="shared" si="11"/>
        <v>7016239.6751111569</v>
      </c>
      <c r="U56" s="214">
        <f t="shared" si="11"/>
        <v>7413220.061331219</v>
      </c>
      <c r="V56" s="214">
        <f t="shared" si="11"/>
        <v>7888252.6171427863</v>
      </c>
      <c r="W56" s="214">
        <f t="shared" si="11"/>
        <v>8447191.255265221</v>
      </c>
      <c r="X56" s="214">
        <f t="shared" si="11"/>
        <v>9096328.931871837</v>
      </c>
      <c r="Y56" s="214">
        <f t="shared" si="11"/>
        <v>9842430.5748489499</v>
      </c>
      <c r="Z56" s="214">
        <f t="shared" si="11"/>
        <v>10692768.481674347</v>
      </c>
      <c r="AA56" s="214">
        <f t="shared" si="11"/>
        <v>11794111.757894844</v>
      </c>
      <c r="AB56" s="214">
        <f t="shared" si="11"/>
        <v>12334611.837016817</v>
      </c>
      <c r="AC56" s="214">
        <f t="shared" si="11"/>
        <v>13004604.300979188</v>
      </c>
      <c r="AD56" s="214">
        <f t="shared" si="11"/>
        <v>13813801.078644987</v>
      </c>
      <c r="AE56" s="214">
        <f t="shared" si="11"/>
        <v>14772642.493541971</v>
      </c>
      <c r="AF56" s="214">
        <f t="shared" si="11"/>
        <v>15892351.893462479</v>
      </c>
      <c r="AG56" s="214">
        <f t="shared" si="11"/>
        <v>17184994.377283275</v>
      </c>
      <c r="AH56" s="214">
        <f t="shared" si="11"/>
        <v>18663539.926296882</v>
      </c>
      <c r="AI56" s="214">
        <f t="shared" ref="AI56:BJ56" si="12">AI54+AI55</f>
        <v>20341931.270392757</v>
      </c>
      <c r="AJ56" s="214">
        <f t="shared" si="12"/>
        <v>22235156.844202075</v>
      </c>
      <c r="AK56" s="214">
        <f t="shared" si="12"/>
        <v>24359329.214953341</v>
      </c>
      <c r="AL56" s="214">
        <f t="shared" si="12"/>
        <v>26731769.3924172</v>
      </c>
      <c r="AM56" s="214">
        <f t="shared" si="12"/>
        <v>29637128.400237471</v>
      </c>
      <c r="AN56" s="214">
        <f t="shared" si="12"/>
        <v>31524998.961862113</v>
      </c>
      <c r="AO56" s="214">
        <f t="shared" si="12"/>
        <v>33721291.843928911</v>
      </c>
      <c r="AP56" s="214">
        <f t="shared" si="12"/>
        <v>36249138.720471032</v>
      </c>
      <c r="AQ56" s="214">
        <f t="shared" si="12"/>
        <v>39133406.141074128</v>
      </c>
      <c r="AR56" s="214">
        <f t="shared" si="12"/>
        <v>42400825.646542765</v>
      </c>
      <c r="AS56" s="214">
        <f t="shared" si="12"/>
        <v>46080133.643241867</v>
      </c>
      <c r="AT56" s="214">
        <f t="shared" si="12"/>
        <v>50202221.768013716</v>
      </c>
      <c r="AU56" s="214">
        <f t="shared" si="12"/>
        <v>54800298.530463763</v>
      </c>
      <c r="AV56" s="214">
        <f t="shared" si="12"/>
        <v>59910063.078417875</v>
      </c>
      <c r="AW56" s="214">
        <f t="shared" si="12"/>
        <v>65569891.995788857</v>
      </c>
      <c r="AX56" s="214">
        <f t="shared" si="12"/>
        <v>71821040.110282972</v>
      </c>
      <c r="AY56" s="214">
        <f t="shared" si="12"/>
        <v>79223432.845579177</v>
      </c>
      <c r="AZ56" s="214">
        <f t="shared" si="12"/>
        <v>84781213.525796711</v>
      </c>
      <c r="BA56" s="214">
        <f t="shared" si="12"/>
        <v>91073588.196727827</v>
      </c>
      <c r="BB56" s="214">
        <f t="shared" si="12"/>
        <v>98155651.407676041</v>
      </c>
      <c r="BC56" s="214">
        <f t="shared" si="12"/>
        <v>106086629.79914264</v>
      </c>
      <c r="BD56" s="214">
        <f t="shared" si="12"/>
        <v>114930192.0096665</v>
      </c>
      <c r="BE56" s="214">
        <f t="shared" si="12"/>
        <v>124754781.82567692</v>
      </c>
      <c r="BF56" s="214">
        <f t="shared" si="12"/>
        <v>135633976.31758538</v>
      </c>
      <c r="BG56" s="214">
        <f t="shared" si="12"/>
        <v>147646870.83608425</v>
      </c>
      <c r="BH56" s="214">
        <f t="shared" si="12"/>
        <v>160878492.88316777</v>
      </c>
      <c r="BI56" s="214">
        <f t="shared" si="12"/>
        <v>175420247.02347985</v>
      </c>
      <c r="BJ56" s="214">
        <f t="shared" si="12"/>
        <v>191370393.16401258</v>
      </c>
    </row>
  </sheetData>
  <mergeCells count="1">
    <mergeCell ref="C32:N32"/>
  </mergeCells>
  <phoneticPr fontId="5" type="noConversion"/>
  <pageMargins left="0.7" right="0.7" top="0.75" bottom="0.75" header="0.3" footer="0.3"/>
  <pageSetup orientation="landscape" r:id="rId1"/>
  <ignoredErrors>
    <ignoredError sqref="C19:G19 C16:G16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2C0BA-9112-D743-8F80-342CAD44A4E5}">
  <sheetPr>
    <tabColor theme="9"/>
  </sheetPr>
  <dimension ref="A1:O19"/>
  <sheetViews>
    <sheetView showGridLines="0" zoomScaleNormal="100" workbookViewId="0">
      <selection sqref="A1:G1"/>
    </sheetView>
  </sheetViews>
  <sheetFormatPr baseColWidth="10" defaultColWidth="10.83203125" defaultRowHeight="14"/>
  <cols>
    <col min="1" max="1" width="15" style="6" customWidth="1"/>
    <col min="2" max="7" width="10.5" style="6" customWidth="1"/>
    <col min="8" max="8" width="3.33203125" style="6" customWidth="1"/>
    <col min="9" max="9" width="34.83203125" style="6" bestFit="1" customWidth="1"/>
    <col min="10" max="10" width="8.33203125" style="6" bestFit="1" customWidth="1"/>
    <col min="11" max="12" width="9.1640625" style="6" bestFit="1" customWidth="1"/>
    <col min="13" max="15" width="10.1640625" style="6" bestFit="1" customWidth="1"/>
    <col min="16" max="16384" width="10.83203125" style="6"/>
  </cols>
  <sheetData>
    <row r="1" spans="1:15" ht="14" customHeight="1">
      <c r="A1" s="547" t="s">
        <v>165</v>
      </c>
      <c r="B1" s="548"/>
      <c r="C1" s="548"/>
      <c r="D1" s="548"/>
      <c r="E1" s="548"/>
      <c r="F1" s="548"/>
      <c r="G1" s="549"/>
      <c r="I1" s="547" t="s">
        <v>164</v>
      </c>
      <c r="J1" s="548"/>
      <c r="K1" s="548"/>
      <c r="L1" s="548"/>
      <c r="M1" s="548"/>
      <c r="N1" s="548"/>
      <c r="O1" s="549"/>
    </row>
    <row r="2" spans="1:15" ht="14" customHeight="1">
      <c r="A2" s="526"/>
      <c r="B2" s="500">
        <f>J2</f>
        <v>45261</v>
      </c>
      <c r="C2" s="500">
        <f>K2</f>
        <v>45627</v>
      </c>
      <c r="D2" s="500">
        <f>L2</f>
        <v>45992</v>
      </c>
      <c r="E2" s="500">
        <f>M2</f>
        <v>46357</v>
      </c>
      <c r="F2" s="500">
        <f>N2</f>
        <v>46722</v>
      </c>
      <c r="G2" s="497" t="s">
        <v>159</v>
      </c>
      <c r="I2" s="519"/>
      <c r="J2" s="518">
        <f>EDATE('2) Assumptions'!$D$5,11)</f>
        <v>45261</v>
      </c>
      <c r="K2" s="518">
        <f>EDATE('2) Assumptions'!$D$5,23)</f>
        <v>45627</v>
      </c>
      <c r="L2" s="518">
        <f>EDATE('2) Assumptions'!$D$5,35)</f>
        <v>45992</v>
      </c>
      <c r="M2" s="518">
        <f>EDATE('2) Assumptions'!$D$5,47)</f>
        <v>46357</v>
      </c>
      <c r="N2" s="518">
        <f>EDATE('2) Assumptions'!$D$5,59)</f>
        <v>46722</v>
      </c>
      <c r="O2" s="497" t="s">
        <v>159</v>
      </c>
    </row>
    <row r="3" spans="1:15" ht="14" customHeight="1">
      <c r="A3" s="526" t="s">
        <v>29</v>
      </c>
      <c r="B3" s="501">
        <f>'Income Statement'!C5</f>
        <v>8290677.5941595696</v>
      </c>
      <c r="C3" s="501">
        <f>'Income Statement'!D5</f>
        <v>19746566.755876143</v>
      </c>
      <c r="D3" s="501">
        <f>'Income Statement'!E5</f>
        <v>47031969.849962562</v>
      </c>
      <c r="E3" s="501">
        <f>'Income Statement'!F5</f>
        <v>112019786.29067466</v>
      </c>
      <c r="F3" s="501">
        <f>'Income Statement'!G5</f>
        <v>266806441.67444789</v>
      </c>
      <c r="G3" s="498">
        <f>SUM(B3:F3)</f>
        <v>453895442.16512084</v>
      </c>
      <c r="I3" s="520" t="s">
        <v>29</v>
      </c>
      <c r="J3" s="521">
        <f>J2</f>
        <v>45261</v>
      </c>
      <c r="K3" s="521">
        <f t="shared" ref="K3:N3" si="0">K2</f>
        <v>45627</v>
      </c>
      <c r="L3" s="521">
        <f t="shared" si="0"/>
        <v>45992</v>
      </c>
      <c r="M3" s="521">
        <f t="shared" si="0"/>
        <v>46357</v>
      </c>
      <c r="N3" s="521">
        <f t="shared" si="0"/>
        <v>46722</v>
      </c>
      <c r="O3" s="498"/>
    </row>
    <row r="4" spans="1:15" ht="14" customHeight="1">
      <c r="A4" s="526" t="s">
        <v>160</v>
      </c>
      <c r="B4" s="501">
        <f>'Income Statement'!C7</f>
        <v>7461609.8347436134</v>
      </c>
      <c r="C4" s="501">
        <f>'Income Statement'!D7</f>
        <v>17771910.080288529</v>
      </c>
      <c r="D4" s="501">
        <f>'Income Statement'!E7</f>
        <v>42328772.864966303</v>
      </c>
      <c r="E4" s="501">
        <f>'Income Statement'!F7</f>
        <v>100817807.66160722</v>
      </c>
      <c r="F4" s="501">
        <f>'Income Statement'!G7</f>
        <v>240125797.5070031</v>
      </c>
      <c r="G4" s="498">
        <f t="shared" ref="G4:G6" si="1">SUM(B4:F4)</f>
        <v>408505897.94860876</v>
      </c>
      <c r="I4" s="522" t="str">
        <f>'3) Projected Sales Forecast'!A4</f>
        <v>Content Production &amp; Streaming Revenue</v>
      </c>
      <c r="J4" s="523">
        <f>'3) Projected Sales Forecast'!C6</f>
        <v>1612076.1988643608</v>
      </c>
      <c r="K4" s="523">
        <f>'3) Projected Sales Forecast'!D6</f>
        <v>3839610.2025314732</v>
      </c>
      <c r="L4" s="523">
        <f>'3) Projected Sales Forecast'!E6</f>
        <v>9145105.248603832</v>
      </c>
      <c r="M4" s="523">
        <f>'3) Projected Sales Forecast'!F6</f>
        <v>21781625.112075631</v>
      </c>
      <c r="N4" s="523">
        <f>'3) Projected Sales Forecast'!G6</f>
        <v>51879030.325587101</v>
      </c>
      <c r="O4" s="498">
        <f>SUM(J4:N4)</f>
        <v>88257447.087662399</v>
      </c>
    </row>
    <row r="5" spans="1:15" ht="14" customHeight="1">
      <c r="A5" s="526" t="s">
        <v>58</v>
      </c>
      <c r="B5" s="501">
        <f>'Income Statement'!C26</f>
        <v>1251609.8347436129</v>
      </c>
      <c r="C5" s="501">
        <f>'Income Statement'!D26</f>
        <v>7144410.0802885313</v>
      </c>
      <c r="D5" s="501">
        <f>'Income Statement'!E26</f>
        <v>23389397.864966303</v>
      </c>
      <c r="E5" s="501">
        <f>'Income Statement'!F26</f>
        <v>65964838.911607213</v>
      </c>
      <c r="F5" s="501">
        <f>'Income Statement'!G26</f>
        <v>174431774.0695031</v>
      </c>
      <c r="G5" s="498">
        <f t="shared" si="1"/>
        <v>272182030.76110876</v>
      </c>
      <c r="I5" s="522" t="str">
        <f>'3) Projected Sales Forecast'!A19</f>
        <v>Metaverse Item &amp; Land Sales Revenue</v>
      </c>
      <c r="J5" s="523">
        <f>'3) Projected Sales Forecast'!C21</f>
        <v>3224152.3977287211</v>
      </c>
      <c r="K5" s="523">
        <f>'3) Projected Sales Forecast'!D21</f>
        <v>7679220.4050629456</v>
      </c>
      <c r="L5" s="523">
        <f>'3) Projected Sales Forecast'!E21</f>
        <v>18290210.49720766</v>
      </c>
      <c r="M5" s="523">
        <f>'3) Projected Sales Forecast'!F21</f>
        <v>43563250.224151254</v>
      </c>
      <c r="N5" s="523">
        <f>'3) Projected Sales Forecast'!G21</f>
        <v>103758060.65117417</v>
      </c>
      <c r="O5" s="498">
        <f t="shared" ref="O5:O15" si="2">SUM(J5:N5)</f>
        <v>176514894.17532474</v>
      </c>
    </row>
    <row r="6" spans="1:15" ht="14" customHeight="1">
      <c r="A6" s="527" t="s">
        <v>161</v>
      </c>
      <c r="B6" s="502">
        <f>'Income Statement'!C31</f>
        <v>-1498390.1652563871</v>
      </c>
      <c r="C6" s="502">
        <f>'Income Statement'!D31</f>
        <v>3391336.8657487184</v>
      </c>
      <c r="D6" s="502">
        <f>'Income Statement'!E31</f>
        <v>16160648.528268619</v>
      </c>
      <c r="E6" s="502">
        <f>'Income Statement'!F31</f>
        <v>49497218.867788449</v>
      </c>
      <c r="F6" s="502">
        <f>'Income Statement'!G31</f>
        <v>134426829.09642094</v>
      </c>
      <c r="G6" s="499">
        <f t="shared" si="1"/>
        <v>201977643.19297034</v>
      </c>
      <c r="I6" s="522" t="str">
        <f>'3) Projected Sales Forecast'!A34</f>
        <v>NFT &amp; VUCO Coin Transaction Revenue</v>
      </c>
      <c r="J6" s="523">
        <f>'3) Projected Sales Forecast'!C36</f>
        <v>2072669.3985398926</v>
      </c>
      <c r="K6" s="523">
        <f>'3) Projected Sales Forecast'!D36</f>
        <v>4936641.6889690366</v>
      </c>
      <c r="L6" s="523">
        <f>'3) Projected Sales Forecast'!E36</f>
        <v>11757992.462490642</v>
      </c>
      <c r="M6" s="523">
        <f>'3) Projected Sales Forecast'!F36</f>
        <v>28004946.572668679</v>
      </c>
      <c r="N6" s="523">
        <f>'3) Projected Sales Forecast'!G36</f>
        <v>66701610.418611988</v>
      </c>
      <c r="O6" s="498">
        <f t="shared" si="2"/>
        <v>113473860.54128024</v>
      </c>
    </row>
    <row r="7" spans="1:15" ht="14" customHeight="1">
      <c r="A7" s="526"/>
      <c r="B7" s="503"/>
      <c r="C7" s="503"/>
      <c r="D7" s="503"/>
      <c r="E7" s="503"/>
      <c r="F7" s="503"/>
      <c r="G7" s="506"/>
      <c r="I7" s="522" t="str">
        <f>'3) Projected Sales Forecast'!A49</f>
        <v>Digital Advertising &amp; Other Revenue</v>
      </c>
      <c r="J7" s="523">
        <f>'3) Projected Sales Forecast'!C51</f>
        <v>1381779.599026595</v>
      </c>
      <c r="K7" s="523">
        <f>'3) Projected Sales Forecast'!D51</f>
        <v>3291094.4593126918</v>
      </c>
      <c r="L7" s="523">
        <f>'3) Projected Sales Forecast'!E51</f>
        <v>7838661.6416604267</v>
      </c>
      <c r="M7" s="523">
        <f>'3) Projected Sales Forecast'!F51</f>
        <v>18669964.381779116</v>
      </c>
      <c r="N7" s="523">
        <f>'3) Projected Sales Forecast'!G51</f>
        <v>44467740.279074654</v>
      </c>
      <c r="O7" s="498">
        <f t="shared" si="2"/>
        <v>75649240.360853478</v>
      </c>
    </row>
    <row r="8" spans="1:15" ht="14" customHeight="1">
      <c r="A8" s="526" t="s">
        <v>31</v>
      </c>
      <c r="B8" s="504">
        <f>B4/B$3</f>
        <v>0.90000000000000013</v>
      </c>
      <c r="C8" s="504">
        <f t="shared" ref="C8:G8" si="3">C4/C$3</f>
        <v>0.9</v>
      </c>
      <c r="D8" s="504">
        <f t="shared" si="3"/>
        <v>0.89999999999999991</v>
      </c>
      <c r="E8" s="504">
        <f t="shared" si="3"/>
        <v>0.90000000000000024</v>
      </c>
      <c r="F8" s="504">
        <f t="shared" si="3"/>
        <v>0.9</v>
      </c>
      <c r="G8" s="507">
        <f t="shared" si="3"/>
        <v>0.9</v>
      </c>
      <c r="I8" s="524" t="s">
        <v>156</v>
      </c>
      <c r="J8" s="509">
        <f>SUM(J4:J7)</f>
        <v>8290677.5941595696</v>
      </c>
      <c r="K8" s="509">
        <f t="shared" ref="K8:N8" si="4">SUM(K4:K7)</f>
        <v>19746566.755876146</v>
      </c>
      <c r="L8" s="509">
        <f t="shared" si="4"/>
        <v>47031969.849962562</v>
      </c>
      <c r="M8" s="509">
        <f t="shared" si="4"/>
        <v>112019786.29067467</v>
      </c>
      <c r="N8" s="509">
        <f t="shared" si="4"/>
        <v>266806441.67444795</v>
      </c>
      <c r="O8" s="499">
        <f t="shared" si="2"/>
        <v>453895442.1651209</v>
      </c>
    </row>
    <row r="9" spans="1:15" ht="14" customHeight="1">
      <c r="A9" s="526" t="s">
        <v>162</v>
      </c>
      <c r="B9" s="504">
        <f t="shared" ref="B9:G10" si="5">B5/B$3</f>
        <v>0.1509659277578613</v>
      </c>
      <c r="C9" s="504">
        <f t="shared" si="5"/>
        <v>0.36180517700184578</v>
      </c>
      <c r="D9" s="504">
        <f t="shared" si="5"/>
        <v>0.49730848908904296</v>
      </c>
      <c r="E9" s="504">
        <f t="shared" si="5"/>
        <v>0.58886774467180547</v>
      </c>
      <c r="F9" s="504">
        <f t="shared" si="5"/>
        <v>0.65377647171780584</v>
      </c>
      <c r="G9" s="507">
        <f t="shared" si="5"/>
        <v>0.59965799493992877</v>
      </c>
      <c r="I9" s="525"/>
      <c r="J9" s="253"/>
      <c r="K9" s="253"/>
      <c r="L9" s="253"/>
      <c r="M9" s="253"/>
      <c r="N9" s="253"/>
      <c r="O9" s="498"/>
    </row>
    <row r="10" spans="1:15" ht="14" customHeight="1">
      <c r="A10" s="527" t="s">
        <v>163</v>
      </c>
      <c r="B10" s="505">
        <f t="shared" si="5"/>
        <v>-0.18073193032038048</v>
      </c>
      <c r="C10" s="505">
        <f t="shared" si="5"/>
        <v>0.1717431140144669</v>
      </c>
      <c r="D10" s="505">
        <f t="shared" si="5"/>
        <v>0.34360985899214858</v>
      </c>
      <c r="E10" s="505">
        <f t="shared" si="5"/>
        <v>0.441861393480528</v>
      </c>
      <c r="F10" s="505">
        <f t="shared" si="5"/>
        <v>0.50383652003592172</v>
      </c>
      <c r="G10" s="508">
        <f t="shared" si="5"/>
        <v>0.44498715878158934</v>
      </c>
      <c r="I10" s="520" t="s">
        <v>157</v>
      </c>
      <c r="J10" s="253"/>
      <c r="K10" s="253"/>
      <c r="L10" s="253"/>
      <c r="M10" s="253"/>
      <c r="N10" s="253"/>
      <c r="O10" s="498"/>
    </row>
    <row r="11" spans="1:15" ht="14" customHeight="1">
      <c r="I11" s="522" t="str">
        <f>I4</f>
        <v>Content Production &amp; Streaming Revenue</v>
      </c>
      <c r="J11" s="523">
        <f>'3) Projected Sales Forecast'!C7</f>
        <v>161207.61988643609</v>
      </c>
      <c r="K11" s="523">
        <f>'3) Projected Sales Forecast'!D7</f>
        <v>383961.02025314741</v>
      </c>
      <c r="L11" s="523">
        <f>'3) Projected Sales Forecast'!E7</f>
        <v>914510.52486038313</v>
      </c>
      <c r="M11" s="523">
        <f>'3) Projected Sales Forecast'!F7</f>
        <v>2178162.5112075638</v>
      </c>
      <c r="N11" s="523">
        <f>'3) Projected Sales Forecast'!G7</f>
        <v>5187903.0325587103</v>
      </c>
      <c r="O11" s="498">
        <f>SUM(J11:N11)</f>
        <v>8825744.7087662406</v>
      </c>
    </row>
    <row r="12" spans="1:15" ht="14" customHeight="1">
      <c r="I12" s="522" t="str">
        <f>I5</f>
        <v>Metaverse Item &amp; Land Sales Revenue</v>
      </c>
      <c r="J12" s="523">
        <f>'3) Projected Sales Forecast'!C22</f>
        <v>322415.23977287213</v>
      </c>
      <c r="K12" s="523">
        <f>'3) Projected Sales Forecast'!D22</f>
        <v>767922.04050629446</v>
      </c>
      <c r="L12" s="523">
        <f>'3) Projected Sales Forecast'!E22</f>
        <v>1829021.049720766</v>
      </c>
      <c r="M12" s="523">
        <f>'3) Projected Sales Forecast'!F22</f>
        <v>4356325.0224151267</v>
      </c>
      <c r="N12" s="523">
        <f>'3) Projected Sales Forecast'!G22</f>
        <v>10375806.065117417</v>
      </c>
      <c r="O12" s="498">
        <f t="shared" si="2"/>
        <v>17651489.417532474</v>
      </c>
    </row>
    <row r="13" spans="1:15" ht="14" customHeight="1">
      <c r="I13" s="522" t="str">
        <f>I6</f>
        <v>NFT &amp; VUCO Coin Transaction Revenue</v>
      </c>
      <c r="J13" s="523">
        <f>'3) Projected Sales Forecast'!C37</f>
        <v>207266.93985398926</v>
      </c>
      <c r="K13" s="523">
        <f>'3) Projected Sales Forecast'!D37</f>
        <v>493664.16889690369</v>
      </c>
      <c r="L13" s="523">
        <f>'3) Projected Sales Forecast'!E37</f>
        <v>1175799.2462490641</v>
      </c>
      <c r="M13" s="523">
        <f>'3) Projected Sales Forecast'!F37</f>
        <v>2800494.6572668678</v>
      </c>
      <c r="N13" s="523">
        <f>'3) Projected Sales Forecast'!G37</f>
        <v>6670161.0418611998</v>
      </c>
      <c r="O13" s="498">
        <f t="shared" si="2"/>
        <v>11347386.054128025</v>
      </c>
    </row>
    <row r="14" spans="1:15" ht="14" customHeight="1">
      <c r="I14" s="522" t="str">
        <f>I7</f>
        <v>Digital Advertising &amp; Other Revenue</v>
      </c>
      <c r="J14" s="523">
        <f>'3) Projected Sales Forecast'!C52</f>
        <v>138177.95990265952</v>
      </c>
      <c r="K14" s="523">
        <f>'3) Projected Sales Forecast'!D52</f>
        <v>329109.44593126921</v>
      </c>
      <c r="L14" s="523">
        <f>'3) Projected Sales Forecast'!E52</f>
        <v>783866.16416604281</v>
      </c>
      <c r="M14" s="523">
        <f>'3) Projected Sales Forecast'!F52</f>
        <v>1866996.4381779118</v>
      </c>
      <c r="N14" s="523">
        <f>'3) Projected Sales Forecast'!G52</f>
        <v>4446774.0279074656</v>
      </c>
      <c r="O14" s="498">
        <f t="shared" si="2"/>
        <v>7564924.0360853486</v>
      </c>
    </row>
    <row r="15" spans="1:15" ht="14" customHeight="1">
      <c r="A15" s="49"/>
      <c r="B15" s="49"/>
      <c r="C15" s="49"/>
      <c r="D15" s="49"/>
      <c r="E15" s="49"/>
      <c r="F15" s="49"/>
      <c r="G15" s="49"/>
      <c r="I15" s="524" t="s">
        <v>158</v>
      </c>
      <c r="J15" s="509">
        <f>SUM(J11:J14)</f>
        <v>829067.75941595703</v>
      </c>
      <c r="K15" s="509">
        <f t="shared" ref="K15:N15" si="6">SUM(K11:K14)</f>
        <v>1974656.675587615</v>
      </c>
      <c r="L15" s="509">
        <f t="shared" si="6"/>
        <v>4703196.9849962555</v>
      </c>
      <c r="M15" s="509">
        <f t="shared" si="6"/>
        <v>11201978.629067469</v>
      </c>
      <c r="N15" s="509">
        <f t="shared" si="6"/>
        <v>26680644.167444792</v>
      </c>
      <c r="O15" s="499">
        <f t="shared" si="2"/>
        <v>45389544.216512084</v>
      </c>
    </row>
    <row r="16" spans="1:15">
      <c r="A16" s="49"/>
      <c r="B16" s="49"/>
      <c r="C16" s="49"/>
      <c r="D16" s="49"/>
      <c r="E16" s="49"/>
      <c r="F16" s="49"/>
      <c r="G16" s="49"/>
    </row>
    <row r="17" spans="1:6">
      <c r="A17" s="49"/>
      <c r="B17" s="273">
        <f>B2</f>
        <v>45261</v>
      </c>
      <c r="C17" s="273">
        <f>C2</f>
        <v>45627</v>
      </c>
      <c r="D17" s="273">
        <f>D2</f>
        <v>45992</v>
      </c>
      <c r="E17" s="273">
        <f>E2</f>
        <v>46357</v>
      </c>
      <c r="F17" s="273">
        <f>F2</f>
        <v>46722</v>
      </c>
    </row>
    <row r="18" spans="1:6">
      <c r="A18" s="49" t="str">
        <f t="shared" ref="A18:F18" si="7">A6</f>
        <v>Net Income</v>
      </c>
      <c r="B18" s="271">
        <f t="shared" si="7"/>
        <v>-1498390.1652563871</v>
      </c>
      <c r="C18" s="271">
        <f t="shared" si="7"/>
        <v>3391336.8657487184</v>
      </c>
      <c r="D18" s="271">
        <f t="shared" si="7"/>
        <v>16160648.528268619</v>
      </c>
      <c r="E18" s="271">
        <f t="shared" si="7"/>
        <v>49497218.867788449</v>
      </c>
      <c r="F18" s="271">
        <f t="shared" si="7"/>
        <v>134426829.09642094</v>
      </c>
    </row>
    <row r="19" spans="1:6">
      <c r="A19" s="49" t="str">
        <f t="shared" ref="A19:F19" si="8">A10</f>
        <v>Profit margin</v>
      </c>
      <c r="B19" s="272">
        <f t="shared" si="8"/>
        <v>-0.18073193032038048</v>
      </c>
      <c r="C19" s="272">
        <f t="shared" si="8"/>
        <v>0.1717431140144669</v>
      </c>
      <c r="D19" s="272">
        <f t="shared" si="8"/>
        <v>0.34360985899214858</v>
      </c>
      <c r="E19" s="272">
        <f t="shared" si="8"/>
        <v>0.441861393480528</v>
      </c>
      <c r="F19" s="272">
        <f t="shared" si="8"/>
        <v>0.50383652003592172</v>
      </c>
    </row>
  </sheetData>
  <mergeCells count="2">
    <mergeCell ref="A1:G1"/>
    <mergeCell ref="I1:O1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225C2-0D3A-1E44-AAA0-C7EA4DDC56FD}">
  <sheetPr>
    <tabColor theme="9"/>
  </sheetPr>
  <dimension ref="A1:E16"/>
  <sheetViews>
    <sheetView showGridLines="0" zoomScaleNormal="100" workbookViewId="0">
      <selection sqref="A1:B2"/>
    </sheetView>
  </sheetViews>
  <sheetFormatPr baseColWidth="10" defaultColWidth="11.5" defaultRowHeight="13"/>
  <cols>
    <col min="1" max="1" width="23.33203125" customWidth="1"/>
    <col min="2" max="2" width="13.33203125" customWidth="1"/>
    <col min="3" max="3" width="3.33203125" customWidth="1"/>
    <col min="4" max="4" width="23.33203125" customWidth="1"/>
    <col min="5" max="5" width="13.33203125" customWidth="1"/>
  </cols>
  <sheetData>
    <row r="1" spans="1:5" ht="14">
      <c r="A1" s="550" t="s">
        <v>111</v>
      </c>
      <c r="B1" s="550"/>
      <c r="C1" s="6"/>
      <c r="D1" s="550" t="s">
        <v>112</v>
      </c>
      <c r="E1" s="550"/>
    </row>
    <row r="2" spans="1:5" ht="14">
      <c r="A2" s="550"/>
      <c r="B2" s="550"/>
      <c r="C2" s="62"/>
      <c r="D2" s="550"/>
      <c r="E2" s="550"/>
    </row>
    <row r="3" spans="1:5" ht="14">
      <c r="A3" s="376" t="str">
        <f>'7) Summary Sources of Funding'!F4</f>
        <v>Operating Expenses</v>
      </c>
      <c r="B3" s="279">
        <f>'7) Summary Sources of Funding'!G4</f>
        <v>4750000</v>
      </c>
      <c r="C3" s="62"/>
      <c r="D3" s="92" t="str">
        <f>'7) Summary Sources of Funding'!K7</f>
        <v>Loan</v>
      </c>
      <c r="E3" s="281">
        <f>'7) Summary Sources of Funding'!L7</f>
        <v>0</v>
      </c>
    </row>
    <row r="4" spans="1:5" ht="14">
      <c r="A4" s="376" t="str">
        <f>'7) Summary Sources of Funding'!F5</f>
        <v>Working Capital &amp; Contingency</v>
      </c>
      <c r="B4" s="279">
        <f>'7) Summary Sources of Funding'!G5</f>
        <v>250000</v>
      </c>
      <c r="C4" s="62"/>
      <c r="D4" s="92" t="str">
        <f>'7) Summary Sources of Funding'!K8</f>
        <v>Mortgage</v>
      </c>
      <c r="E4" s="281">
        <f>'7) Summary Sources of Funding'!L8</f>
        <v>0</v>
      </c>
    </row>
    <row r="5" spans="1:5" ht="14">
      <c r="A5" s="93" t="s">
        <v>114</v>
      </c>
      <c r="B5" s="280">
        <f>SUM(B3:B4)</f>
        <v>5000000</v>
      </c>
      <c r="C5" s="62"/>
      <c r="D5" s="92" t="str">
        <f>'7) Summary Sources of Funding'!K9</f>
        <v>Other Bank Debt</v>
      </c>
      <c r="E5" s="281">
        <f>'7) Summary Sources of Funding'!L9</f>
        <v>0</v>
      </c>
    </row>
    <row r="6" spans="1:5" ht="14">
      <c r="A6" s="550" t="s">
        <v>115</v>
      </c>
      <c r="B6" s="550"/>
      <c r="C6" s="62"/>
      <c r="D6" s="93" t="s">
        <v>119</v>
      </c>
      <c r="E6" s="280">
        <f>SUM(E3:E5)</f>
        <v>0</v>
      </c>
    </row>
    <row r="7" spans="1:5" ht="14">
      <c r="A7" s="550"/>
      <c r="B7" s="550"/>
      <c r="C7" s="62"/>
      <c r="D7" s="550" t="s">
        <v>113</v>
      </c>
      <c r="E7" s="550"/>
    </row>
    <row r="8" spans="1:5" ht="14">
      <c r="A8" s="376" t="str">
        <f>'7) Summary Sources of Funding'!B4</f>
        <v>Content Production Equipment</v>
      </c>
      <c r="B8" s="281">
        <f>'7) Summary Sources of Funding'!C4</f>
        <v>22500000</v>
      </c>
      <c r="C8" s="62"/>
      <c r="D8" s="550"/>
      <c r="E8" s="550"/>
    </row>
    <row r="9" spans="1:5" ht="14">
      <c r="A9" s="376" t="str">
        <f>'7) Summary Sources of Funding'!B5</f>
        <v>Software &amp; Technology</v>
      </c>
      <c r="B9" s="281">
        <f>'7) Summary Sources of Funding'!C5</f>
        <v>2500000</v>
      </c>
      <c r="C9" s="62"/>
      <c r="D9" s="92" t="s">
        <v>122</v>
      </c>
      <c r="E9" s="281">
        <f>'7) Summary Sources of Funding'!L4</f>
        <v>0</v>
      </c>
    </row>
    <row r="10" spans="1:5" ht="14">
      <c r="A10" s="93" t="s">
        <v>120</v>
      </c>
      <c r="B10" s="280">
        <f>SUM(B8:B9)</f>
        <v>25000000</v>
      </c>
      <c r="C10" s="62"/>
      <c r="D10" s="92" t="s">
        <v>123</v>
      </c>
      <c r="E10" s="281">
        <f>'7) Summary Sources of Funding'!L5</f>
        <v>30000000</v>
      </c>
    </row>
    <row r="11" spans="1:5" ht="14">
      <c r="A11" s="550" t="s">
        <v>117</v>
      </c>
      <c r="B11" s="550"/>
      <c r="C11" s="62"/>
      <c r="D11" s="93" t="s">
        <v>129</v>
      </c>
      <c r="E11" s="280">
        <f>SUM(E9:E10)</f>
        <v>30000000</v>
      </c>
    </row>
    <row r="12" spans="1:5" ht="14">
      <c r="A12" s="550"/>
      <c r="B12" s="550"/>
      <c r="C12" s="62"/>
      <c r="D12" s="550" t="s">
        <v>118</v>
      </c>
      <c r="E12" s="550"/>
    </row>
    <row r="13" spans="1:5" ht="14">
      <c r="A13" s="92" t="str">
        <f>A5</f>
        <v>Total Startup Expenses</v>
      </c>
      <c r="B13" s="281">
        <f>B5</f>
        <v>5000000</v>
      </c>
      <c r="C13" s="62"/>
      <c r="D13" s="550"/>
      <c r="E13" s="550"/>
    </row>
    <row r="14" spans="1:5" ht="14">
      <c r="A14" s="92" t="str">
        <f>A10</f>
        <v>Total Startup Assets</v>
      </c>
      <c r="B14" s="281">
        <f>B10</f>
        <v>25000000</v>
      </c>
      <c r="C14" s="62"/>
      <c r="D14" s="92" t="s">
        <v>119</v>
      </c>
      <c r="E14" s="281">
        <f>SUM(E3:E5)</f>
        <v>0</v>
      </c>
    </row>
    <row r="15" spans="1:5" ht="14">
      <c r="A15" s="93" t="s">
        <v>117</v>
      </c>
      <c r="B15" s="280">
        <f>B13+B14</f>
        <v>30000000</v>
      </c>
      <c r="C15" s="62"/>
      <c r="D15" s="92" t="s">
        <v>116</v>
      </c>
      <c r="E15" s="281">
        <f>SUM(E9:E10)</f>
        <v>30000000</v>
      </c>
    </row>
    <row r="16" spans="1:5" ht="14">
      <c r="A16" s="6"/>
      <c r="B16" s="6"/>
      <c r="C16" s="62"/>
      <c r="D16" s="93" t="s">
        <v>121</v>
      </c>
      <c r="E16" s="280">
        <f>SUM(E14:E15)</f>
        <v>30000000</v>
      </c>
    </row>
  </sheetData>
  <mergeCells count="6">
    <mergeCell ref="D7:E8"/>
    <mergeCell ref="D12:E13"/>
    <mergeCell ref="A11:B12"/>
    <mergeCell ref="D1:E2"/>
    <mergeCell ref="A1:B2"/>
    <mergeCell ref="A6:B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191F-8F99-DC48-8A6F-B0FF35AF9707}">
  <sheetPr>
    <tabColor theme="9"/>
  </sheetPr>
  <dimension ref="A1:O27"/>
  <sheetViews>
    <sheetView showGridLines="0" zoomScaleNormal="100" workbookViewId="0"/>
  </sheetViews>
  <sheetFormatPr baseColWidth="10" defaultColWidth="11.5" defaultRowHeight="13"/>
  <cols>
    <col min="1" max="1" width="3.1640625" customWidth="1"/>
    <col min="2" max="2" width="31.83203125" bestFit="1" customWidth="1"/>
    <col min="3" max="3" width="9.6640625" bestFit="1" customWidth="1"/>
    <col min="4" max="5" width="10.1640625" bestFit="1" customWidth="1"/>
    <col min="6" max="7" width="11" bestFit="1" customWidth="1"/>
    <col min="8" max="8" width="3.33203125" customWidth="1"/>
    <col min="9" max="9" width="15.83203125" bestFit="1" customWidth="1"/>
  </cols>
  <sheetData>
    <row r="1" spans="1:15" ht="14" customHeight="1">
      <c r="A1" s="262" t="s">
        <v>167</v>
      </c>
      <c r="B1" s="75"/>
      <c r="C1" s="75"/>
      <c r="D1" s="75"/>
      <c r="E1" s="75"/>
      <c r="F1" s="75"/>
      <c r="G1" s="75"/>
      <c r="I1" s="551" t="s">
        <v>56</v>
      </c>
      <c r="J1" s="551"/>
    </row>
    <row r="2" spans="1:15" ht="14" customHeight="1">
      <c r="A2" s="76" t="str">
        <f>"(expressed in "&amp;'2) Assumptions'!D6&amp;")"</f>
        <v>(expressed in Euro (€))</v>
      </c>
      <c r="B2" s="75"/>
      <c r="C2" s="75"/>
      <c r="D2" s="75"/>
      <c r="E2" s="75"/>
      <c r="F2" s="75"/>
      <c r="G2" s="75"/>
      <c r="I2" s="359" t="s">
        <v>244</v>
      </c>
      <c r="J2" s="360">
        <v>0.15</v>
      </c>
    </row>
    <row r="3" spans="1:15" ht="14" customHeight="1">
      <c r="A3" s="77" t="str">
        <f>"For the years ended"&amp;" "&amp;TEXT(EOMONTH('2) Assumptions'!D5,11),"mmmm dd")&amp;","</f>
        <v>For the years ended December 31,</v>
      </c>
      <c r="B3" s="75"/>
      <c r="C3" s="75"/>
      <c r="D3" s="75"/>
      <c r="E3" s="75"/>
      <c r="F3" s="75"/>
      <c r="G3" s="75"/>
    </row>
    <row r="4" spans="1:15" ht="14" customHeight="1">
      <c r="A4" s="78"/>
      <c r="B4" s="78"/>
      <c r="C4" s="79">
        <f>EDATE('2) Assumptions'!$D$5,11)</f>
        <v>45261</v>
      </c>
      <c r="D4" s="79">
        <f>EDATE('2) Assumptions'!$D$5,23)</f>
        <v>45627</v>
      </c>
      <c r="E4" s="79">
        <f>EDATE('2) Assumptions'!$D$5,35)</f>
        <v>45992</v>
      </c>
      <c r="F4" s="79">
        <f>EDATE('2) Assumptions'!$D$5,47)</f>
        <v>46357</v>
      </c>
      <c r="G4" s="79">
        <f>EDATE('2) Assumptions'!$D$5,59)</f>
        <v>46722</v>
      </c>
    </row>
    <row r="5" spans="1:15" ht="14" customHeight="1">
      <c r="A5" s="80" t="s">
        <v>29</v>
      </c>
      <c r="B5" s="70"/>
      <c r="C5" s="81">
        <f>SUM(('Income Statement'!C38:N38))*(1+$J$2)</f>
        <v>9534279.2332835048</v>
      </c>
      <c r="D5" s="81">
        <f>SUM('Income Statement'!O38:Z38)*(1+$J$2)</f>
        <v>22708551.76925756</v>
      </c>
      <c r="E5" s="81">
        <f>SUM('Income Statement'!AA38:AL38)*(1+$J$2)</f>
        <v>54086765.327456944</v>
      </c>
      <c r="F5" s="81">
        <f>SUM('Income Statement'!AM38:AX38)*(1+$J$2)</f>
        <v>128822754.23427585</v>
      </c>
      <c r="G5" s="81">
        <f>SUM('Income Statement'!AY38:BJ38)*(1+$J$2)</f>
        <v>306827407.92561507</v>
      </c>
      <c r="J5" s="287">
        <f>C4</f>
        <v>45261</v>
      </c>
      <c r="K5" s="287">
        <f>D4</f>
        <v>45627</v>
      </c>
      <c r="L5" s="287">
        <f>E4</f>
        <v>45992</v>
      </c>
      <c r="M5" s="287">
        <f>F4</f>
        <v>46357</v>
      </c>
      <c r="N5" s="287">
        <f>G4</f>
        <v>46722</v>
      </c>
    </row>
    <row r="6" spans="1:15" ht="14" customHeight="1">
      <c r="A6" s="528" t="str">
        <f>'3) Projected Sales Forecast'!B7</f>
        <v>COS</v>
      </c>
      <c r="B6" s="82"/>
      <c r="C6" s="83">
        <f>SUM(('Income Statement'!C39:N39))*(1+$J$2)</f>
        <v>953427.92332835041</v>
      </c>
      <c r="D6" s="83">
        <f>SUM('Income Statement'!O39:Z39)*(1+$J$2)</f>
        <v>2270855.176925757</v>
      </c>
      <c r="E6" s="83">
        <f>SUM('Income Statement'!AA39:AL39)*(1+$J$2)</f>
        <v>5408676.5327456938</v>
      </c>
      <c r="F6" s="83">
        <f>SUM('Income Statement'!AM39:AX39)*(1+$J$2)</f>
        <v>12882275.423427591</v>
      </c>
      <c r="G6" s="83">
        <f>SUM('Income Statement'!AY39:BJ39)*(1+$J$2)</f>
        <v>30682740.792561516</v>
      </c>
      <c r="I6" s="1" t="s">
        <v>200</v>
      </c>
      <c r="J6" s="286">
        <f>C12</f>
        <v>-379148.69004484639</v>
      </c>
      <c r="K6" s="286">
        <f t="shared" ref="K6:N6" si="0">D12</f>
        <v>7060196.5923318043</v>
      </c>
      <c r="L6" s="286">
        <f t="shared" si="0"/>
        <v>26988713.794711247</v>
      </c>
      <c r="M6" s="286">
        <f t="shared" si="0"/>
        <v>78337510.060848251</v>
      </c>
      <c r="N6" s="286">
        <f t="shared" si="0"/>
        <v>207700643.69555354</v>
      </c>
    </row>
    <row r="7" spans="1:15" ht="14" customHeight="1">
      <c r="A7" s="71" t="s">
        <v>31</v>
      </c>
      <c r="B7" s="71"/>
      <c r="C7" s="81">
        <f>C5-C6</f>
        <v>8580851.3099551536</v>
      </c>
      <c r="D7" s="81">
        <f t="shared" ref="D7:G7" si="1">D5-D6</f>
        <v>20437696.592331804</v>
      </c>
      <c r="E7" s="81">
        <f t="shared" si="1"/>
        <v>48678088.794711247</v>
      </c>
      <c r="F7" s="81">
        <f t="shared" si="1"/>
        <v>115940478.81084825</v>
      </c>
      <c r="G7" s="81">
        <f t="shared" si="1"/>
        <v>276144667.13305354</v>
      </c>
      <c r="I7" s="1" t="s">
        <v>201</v>
      </c>
      <c r="J7" s="286">
        <f>'Income Statement'!C29</f>
        <v>-1498390.1652563871</v>
      </c>
      <c r="K7" s="286">
        <f>'Income Statement'!D29</f>
        <v>4394410.0802885322</v>
      </c>
      <c r="L7" s="286">
        <f>'Income Statement'!E29</f>
        <v>20639397.864966303</v>
      </c>
      <c r="M7" s="286">
        <f>'Income Statement'!F29</f>
        <v>63214838.911607213</v>
      </c>
      <c r="N7" s="286">
        <f>'Income Statement'!G29</f>
        <v>171681774.0695031</v>
      </c>
    </row>
    <row r="8" spans="1:15" ht="14" customHeight="1">
      <c r="A8" s="70" t="s">
        <v>274</v>
      </c>
      <c r="B8" s="70"/>
      <c r="C8" s="85">
        <f>'Income Statement'!C25</f>
        <v>6210000</v>
      </c>
      <c r="D8" s="85">
        <f>'Income Statement'!D25</f>
        <v>10627500</v>
      </c>
      <c r="E8" s="85">
        <f>'Income Statement'!E25</f>
        <v>18939375</v>
      </c>
      <c r="F8" s="85">
        <f>'Income Statement'!F25</f>
        <v>34852968.75</v>
      </c>
      <c r="G8" s="85">
        <f>'Income Statement'!G25</f>
        <v>65694023.4375</v>
      </c>
      <c r="I8" s="1" t="s">
        <v>202</v>
      </c>
      <c r="J8" s="286">
        <f>C25</f>
        <v>-2617631.6404679287</v>
      </c>
      <c r="K8" s="286">
        <f>D25</f>
        <v>1728623.5682452489</v>
      </c>
      <c r="L8" s="286">
        <f>E25</f>
        <v>14290081.935221359</v>
      </c>
      <c r="M8" s="286">
        <f>F25</f>
        <v>48092167.762366101</v>
      </c>
      <c r="N8" s="286">
        <f>G25</f>
        <v>135662904.44345263</v>
      </c>
      <c r="O8" s="286"/>
    </row>
    <row r="9" spans="1:15" ht="14" customHeight="1">
      <c r="A9" s="86" t="s">
        <v>58</v>
      </c>
      <c r="B9" s="87"/>
      <c r="C9" s="88">
        <f>C7-C8</f>
        <v>2370851.3099551536</v>
      </c>
      <c r="D9" s="88">
        <f t="shared" ref="D9:G9" si="2">D7-D8</f>
        <v>9810196.5923318043</v>
      </c>
      <c r="E9" s="88">
        <f t="shared" si="2"/>
        <v>29738713.794711247</v>
      </c>
      <c r="F9" s="88">
        <f t="shared" si="2"/>
        <v>81087510.060848251</v>
      </c>
      <c r="G9" s="88">
        <f t="shared" si="2"/>
        <v>210450643.69555354</v>
      </c>
    </row>
    <row r="10" spans="1:15" ht="14" customHeight="1">
      <c r="A10" s="70"/>
      <c r="B10" s="70" t="s">
        <v>97</v>
      </c>
      <c r="C10" s="81">
        <f>SUM(('Income Statement'!C60:N60))</f>
        <v>2750000</v>
      </c>
      <c r="D10" s="81">
        <f>SUM('Income Statement'!O60:Z60)</f>
        <v>2750000</v>
      </c>
      <c r="E10" s="81">
        <f>SUM('Income Statement'!AA60:AL60)</f>
        <v>2750000</v>
      </c>
      <c r="F10" s="81">
        <f>SUM('Income Statement'!AM60:AX60)</f>
        <v>2750000</v>
      </c>
      <c r="G10" s="81">
        <f>SUM('Income Statement'!AY60:BJ60)</f>
        <v>2750000</v>
      </c>
    </row>
    <row r="11" spans="1:15" ht="14" customHeight="1">
      <c r="A11" s="70"/>
      <c r="B11" s="70" t="s">
        <v>98</v>
      </c>
      <c r="C11" s="81">
        <f>SUM(('Income Statement'!C61:N61))</f>
        <v>0</v>
      </c>
      <c r="D11" s="81">
        <f>SUM('Income Statement'!O61:Z61)</f>
        <v>0</v>
      </c>
      <c r="E11" s="81">
        <f>SUM('Income Statement'!AA61:AL61)</f>
        <v>0</v>
      </c>
      <c r="F11" s="81">
        <f>SUM('Income Statement'!AM61:AX61)</f>
        <v>0</v>
      </c>
      <c r="G11" s="81">
        <f>SUM('Income Statement'!AY61:BJ61)</f>
        <v>0</v>
      </c>
    </row>
    <row r="12" spans="1:15" ht="14" customHeight="1" thickBot="1">
      <c r="A12" s="440" t="s">
        <v>57</v>
      </c>
      <c r="B12" s="441"/>
      <c r="C12" s="442">
        <f>C9-C10-C11</f>
        <v>-379148.69004484639</v>
      </c>
      <c r="D12" s="442">
        <f t="shared" ref="D12:G12" si="3">D9-D10-D11</f>
        <v>7060196.5923318043</v>
      </c>
      <c r="E12" s="442">
        <f t="shared" si="3"/>
        <v>26988713.794711247</v>
      </c>
      <c r="F12" s="442">
        <f t="shared" si="3"/>
        <v>78337510.060848251</v>
      </c>
      <c r="G12" s="442">
        <f t="shared" si="3"/>
        <v>207700643.69555354</v>
      </c>
    </row>
    <row r="13" spans="1:15" ht="14" customHeight="1">
      <c r="A13" s="437"/>
      <c r="B13" s="437"/>
      <c r="C13" s="436"/>
      <c r="D13" s="436"/>
      <c r="E13" s="436"/>
      <c r="F13" s="436"/>
      <c r="G13" s="436"/>
    </row>
    <row r="14" spans="1:15" ht="14" customHeight="1">
      <c r="A14" s="262" t="s">
        <v>168</v>
      </c>
      <c r="B14" s="75"/>
      <c r="C14" s="75"/>
      <c r="D14" s="75"/>
      <c r="E14" s="75"/>
      <c r="F14" s="75"/>
      <c r="G14" s="75"/>
    </row>
    <row r="15" spans="1:15" ht="14" customHeight="1">
      <c r="A15" s="76" t="str">
        <f>"(expressed in "&amp;'2) Assumptions'!D6&amp;")"</f>
        <v>(expressed in Euro (€))</v>
      </c>
      <c r="B15" s="75"/>
      <c r="C15" s="75"/>
      <c r="D15" s="75"/>
      <c r="E15" s="75"/>
      <c r="F15" s="75"/>
      <c r="G15" s="75"/>
    </row>
    <row r="16" spans="1:15" ht="14" customHeight="1">
      <c r="A16" s="77" t="str">
        <f>"For the years ended"&amp;" "&amp;TEXT(EOMONTH('2) Assumptions'!D5,11),"mmmm dd")&amp;","</f>
        <v>For the years ended December 31,</v>
      </c>
      <c r="B16" s="75"/>
      <c r="C16" s="75"/>
      <c r="D16" s="75"/>
      <c r="E16" s="75"/>
      <c r="F16" s="75"/>
      <c r="G16" s="75"/>
    </row>
    <row r="17" spans="1:8" ht="14" customHeight="1">
      <c r="A17" s="78"/>
      <c r="B17" s="78"/>
      <c r="C17" s="79">
        <f>EDATE('2) Assumptions'!$D$5,11)</f>
        <v>45261</v>
      </c>
      <c r="D17" s="79">
        <f>EDATE('2) Assumptions'!$D$5,23)</f>
        <v>45627</v>
      </c>
      <c r="E17" s="79">
        <f>EDATE('2) Assumptions'!$D$5,35)</f>
        <v>45992</v>
      </c>
      <c r="F17" s="79">
        <f>EDATE('2) Assumptions'!$D$5,47)</f>
        <v>46357</v>
      </c>
      <c r="G17" s="79">
        <f>EDATE('2) Assumptions'!$D$5,59)</f>
        <v>46722</v>
      </c>
    </row>
    <row r="18" spans="1:8" ht="14" customHeight="1">
      <c r="A18" s="80" t="s">
        <v>29</v>
      </c>
      <c r="B18" s="70"/>
      <c r="C18" s="81">
        <f>SUM(('Income Statement'!C38:N38))*(1-$J$2)</f>
        <v>7047075.9550356343</v>
      </c>
      <c r="D18" s="81">
        <f>SUM('Income Statement'!O38:Z38)*(1-$J$2)</f>
        <v>16784581.742494721</v>
      </c>
      <c r="E18" s="81">
        <f>SUM('Income Statement'!AA38:AL38)*(1-$J$2)</f>
        <v>39977174.372468174</v>
      </c>
      <c r="F18" s="81">
        <f>SUM('Income Statement'!AM38:AX38)*(1-$J$2)</f>
        <v>95216818.347073451</v>
      </c>
      <c r="G18" s="81">
        <f>SUM('Income Statement'!AY38:BJ38)*(1-$J$2)</f>
        <v>226785475.42328072</v>
      </c>
    </row>
    <row r="19" spans="1:8" ht="14" customHeight="1">
      <c r="A19" s="528" t="str">
        <f>'3) Projected Sales Forecast'!B7</f>
        <v>COS</v>
      </c>
      <c r="B19" s="82"/>
      <c r="C19" s="83">
        <f>SUM(('Income Statement'!C39:N39))*(1-$J$2)</f>
        <v>704707.59550356341</v>
      </c>
      <c r="D19" s="83">
        <f>SUM('Income Statement'!O39:Z39)*(1-$J$2)</f>
        <v>1678458.1742494726</v>
      </c>
      <c r="E19" s="83">
        <f>SUM('Income Statement'!AA39:AL39)*(1-$J$2)</f>
        <v>3997717.4372468172</v>
      </c>
      <c r="F19" s="83">
        <f>SUM('Income Statement'!AM39:AX39)*(1-$J$2)</f>
        <v>9521681.8347073495</v>
      </c>
      <c r="G19" s="83">
        <f>SUM('Income Statement'!AY39:BJ39)*(1-$J$2)</f>
        <v>22678547.542328078</v>
      </c>
    </row>
    <row r="20" spans="1:8" ht="14" customHeight="1">
      <c r="A20" s="71" t="s">
        <v>31</v>
      </c>
      <c r="B20" s="71"/>
      <c r="C20" s="81">
        <f>C18-C19</f>
        <v>6342368.3595320713</v>
      </c>
      <c r="D20" s="81">
        <f t="shared" ref="D20:G20" si="4">D18-D19</f>
        <v>15106123.568245249</v>
      </c>
      <c r="E20" s="81">
        <f t="shared" si="4"/>
        <v>35979456.935221359</v>
      </c>
      <c r="F20" s="81">
        <f t="shared" si="4"/>
        <v>85695136.512366101</v>
      </c>
      <c r="G20" s="81">
        <f t="shared" si="4"/>
        <v>204106927.88095263</v>
      </c>
    </row>
    <row r="21" spans="1:8" ht="14" customHeight="1">
      <c r="A21" s="70" t="s">
        <v>274</v>
      </c>
      <c r="B21" s="70"/>
      <c r="C21" s="85">
        <f>C8</f>
        <v>6210000</v>
      </c>
      <c r="D21" s="85">
        <f>D8</f>
        <v>10627500</v>
      </c>
      <c r="E21" s="85">
        <f>E8</f>
        <v>18939375</v>
      </c>
      <c r="F21" s="85">
        <f>F8</f>
        <v>34852968.75</v>
      </c>
      <c r="G21" s="85">
        <f>G8</f>
        <v>65694023.4375</v>
      </c>
    </row>
    <row r="22" spans="1:8" ht="14" customHeight="1">
      <c r="A22" s="86" t="s">
        <v>58</v>
      </c>
      <c r="B22" s="87"/>
      <c r="C22" s="88">
        <f>C20-C21</f>
        <v>132368.35953207128</v>
      </c>
      <c r="D22" s="88">
        <f t="shared" ref="D22:G22" si="5">D20-D21</f>
        <v>4478623.5682452489</v>
      </c>
      <c r="E22" s="88">
        <f t="shared" si="5"/>
        <v>17040081.935221359</v>
      </c>
      <c r="F22" s="88">
        <f t="shared" si="5"/>
        <v>50842167.762366101</v>
      </c>
      <c r="G22" s="88">
        <f t="shared" si="5"/>
        <v>138412904.44345263</v>
      </c>
    </row>
    <row r="23" spans="1:8" ht="14" customHeight="1">
      <c r="A23" s="70"/>
      <c r="B23" s="70" t="s">
        <v>97</v>
      </c>
      <c r="C23" s="81">
        <f>SUM(('Income Statement'!C60:N60))</f>
        <v>2750000</v>
      </c>
      <c r="D23" s="81">
        <f>SUM('Income Statement'!O60:Z60)</f>
        <v>2750000</v>
      </c>
      <c r="E23" s="81">
        <f>SUM('Income Statement'!AA60:AL60)</f>
        <v>2750000</v>
      </c>
      <c r="F23" s="81">
        <f>SUM('Income Statement'!AM60:AX60)</f>
        <v>2750000</v>
      </c>
      <c r="G23" s="81">
        <f>SUM('Income Statement'!AY60:BJ60)</f>
        <v>2750000</v>
      </c>
    </row>
    <row r="24" spans="1:8" ht="14" customHeight="1">
      <c r="A24" s="70"/>
      <c r="B24" s="70" t="s">
        <v>98</v>
      </c>
      <c r="C24" s="81">
        <f>SUM(('Income Statement'!C61:N61))</f>
        <v>0</v>
      </c>
      <c r="D24" s="81">
        <f>SUM('Income Statement'!O61:Z61)</f>
        <v>0</v>
      </c>
      <c r="E24" s="81">
        <f>SUM('Income Statement'!AA61:AL61)</f>
        <v>0</v>
      </c>
      <c r="F24" s="81">
        <f>SUM('Income Statement'!AM61:AX61)</f>
        <v>0</v>
      </c>
      <c r="G24" s="81">
        <f>SUM('Income Statement'!AY61:BJ61)</f>
        <v>0</v>
      </c>
    </row>
    <row r="25" spans="1:8" ht="14" customHeight="1" thickBot="1">
      <c r="A25" s="440" t="s">
        <v>57</v>
      </c>
      <c r="B25" s="441"/>
      <c r="C25" s="442">
        <f>C22-C23-C24</f>
        <v>-2617631.6404679287</v>
      </c>
      <c r="D25" s="442">
        <f t="shared" ref="D25:G25" si="6">D22-D23-D24</f>
        <v>1728623.5682452489</v>
      </c>
      <c r="E25" s="442">
        <f t="shared" si="6"/>
        <v>14290081.935221359</v>
      </c>
      <c r="F25" s="442">
        <f t="shared" si="6"/>
        <v>48092167.762366101</v>
      </c>
      <c r="G25" s="442">
        <f t="shared" si="6"/>
        <v>135662904.44345263</v>
      </c>
    </row>
    <row r="26" spans="1:8" ht="14" customHeight="1">
      <c r="A26" s="437"/>
      <c r="B26" s="437"/>
      <c r="C26" s="436"/>
      <c r="D26" s="436"/>
      <c r="E26" s="436"/>
      <c r="F26" s="436"/>
      <c r="G26" s="436"/>
      <c r="H26" s="81"/>
    </row>
    <row r="27" spans="1:8" ht="14" customHeight="1">
      <c r="A27" s="438"/>
      <c r="B27" s="438"/>
      <c r="C27" s="439"/>
      <c r="D27" s="439"/>
      <c r="E27" s="439"/>
      <c r="F27" s="439"/>
      <c r="G27" s="439"/>
    </row>
  </sheetData>
  <mergeCells count="1">
    <mergeCell ref="I1:J1"/>
  </mergeCells>
  <pageMargins left="0.7" right="0.7" top="0.75" bottom="0.75" header="0.3" footer="0.3"/>
  <pageSetup orientation="portrait" r:id="rId1"/>
  <ignoredErrors>
    <ignoredError sqref="C8:G8 C21:G21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A1:F29"/>
  <sheetViews>
    <sheetView showGridLines="0" zoomScaleNormal="100" workbookViewId="0">
      <selection sqref="A1:F1"/>
    </sheetView>
  </sheetViews>
  <sheetFormatPr baseColWidth="10" defaultColWidth="10.83203125" defaultRowHeight="14"/>
  <cols>
    <col min="1" max="6" width="13" style="6" customWidth="1"/>
    <col min="7" max="7" width="4.83203125" style="6" customWidth="1"/>
    <col min="8" max="16384" width="10.83203125" style="6"/>
  </cols>
  <sheetData>
    <row r="1" spans="1:6" ht="15">
      <c r="A1" s="552" t="s">
        <v>149</v>
      </c>
      <c r="B1" s="552"/>
      <c r="C1" s="552"/>
      <c r="D1" s="552"/>
      <c r="E1" s="552"/>
      <c r="F1" s="552"/>
    </row>
    <row r="3" spans="1:6">
      <c r="A3" s="553" t="s">
        <v>56</v>
      </c>
      <c r="B3" s="553"/>
      <c r="C3" s="553"/>
      <c r="D3" s="553"/>
      <c r="E3" s="553"/>
      <c r="F3" s="553"/>
    </row>
    <row r="4" spans="1:6">
      <c r="A4" s="97" t="s">
        <v>275</v>
      </c>
      <c r="B4" s="97"/>
      <c r="C4" s="63"/>
      <c r="D4" s="63"/>
      <c r="E4" s="63"/>
      <c r="F4" s="443">
        <v>325000</v>
      </c>
    </row>
    <row r="6" spans="1:6">
      <c r="A6" s="554" t="s">
        <v>149</v>
      </c>
      <c r="B6" s="555"/>
      <c r="C6" s="555"/>
      <c r="D6" s="555"/>
      <c r="E6" s="555"/>
      <c r="F6" s="555"/>
    </row>
    <row r="7" spans="1:6">
      <c r="A7" s="72" t="s">
        <v>276</v>
      </c>
      <c r="B7" s="72"/>
      <c r="C7" s="72"/>
      <c r="D7" s="72"/>
      <c r="E7" s="72"/>
      <c r="F7" s="444">
        <f>'Income Statement'!C25</f>
        <v>6210000</v>
      </c>
    </row>
    <row r="8" spans="1:6">
      <c r="A8" s="73" t="s">
        <v>147</v>
      </c>
      <c r="B8" s="73"/>
      <c r="C8" s="73"/>
      <c r="D8" s="73"/>
      <c r="E8" s="73"/>
      <c r="F8" s="445"/>
    </row>
    <row r="9" spans="1:6">
      <c r="A9" s="447" t="s">
        <v>85</v>
      </c>
      <c r="B9" s="65"/>
      <c r="C9" s="65"/>
      <c r="D9" s="65"/>
      <c r="E9" s="65"/>
      <c r="F9" s="516">
        <f>'3) Projected Sales Forecast'!J10</f>
        <v>3.5</v>
      </c>
    </row>
    <row r="10" spans="1:6">
      <c r="A10" s="447" t="s">
        <v>86</v>
      </c>
      <c r="B10" s="65"/>
      <c r="C10" s="65"/>
      <c r="D10" s="65"/>
      <c r="E10" s="65"/>
      <c r="F10" s="516">
        <f>'3) Projected Sales Forecast'!J14</f>
        <v>0.35000000000000003</v>
      </c>
    </row>
    <row r="11" spans="1:6">
      <c r="A11" s="72" t="s">
        <v>148</v>
      </c>
      <c r="B11" s="72"/>
      <c r="C11" s="72"/>
      <c r="D11" s="72"/>
      <c r="E11" s="72"/>
      <c r="F11" s="446">
        <f>F9-F10</f>
        <v>3.15</v>
      </c>
    </row>
    <row r="12" spans="1:6">
      <c r="A12" s="100" t="s">
        <v>87</v>
      </c>
      <c r="B12" s="100"/>
      <c r="C12" s="100"/>
      <c r="D12" s="100"/>
      <c r="E12" s="100"/>
      <c r="F12" s="101">
        <f>ROUNDUP(F7/F11,1)</f>
        <v>1971428.6</v>
      </c>
    </row>
    <row r="13" spans="1:6" ht="15" thickBot="1">
      <c r="A13" s="102" t="s">
        <v>88</v>
      </c>
      <c r="B13" s="102"/>
      <c r="C13" s="102"/>
      <c r="D13" s="102"/>
      <c r="E13" s="102"/>
      <c r="F13" s="103">
        <f>F9*F12</f>
        <v>6900000.1000000006</v>
      </c>
    </row>
    <row r="15" spans="1:6" ht="14" customHeight="1">
      <c r="A15" s="552" t="s">
        <v>149</v>
      </c>
      <c r="B15" s="552"/>
      <c r="C15" s="552"/>
      <c r="D15" s="552"/>
      <c r="E15" s="552"/>
      <c r="F15" s="552"/>
    </row>
    <row r="16" spans="1:6" ht="14" customHeight="1">
      <c r="A16" s="74" t="s">
        <v>150</v>
      </c>
      <c r="B16" s="74" t="s">
        <v>151</v>
      </c>
      <c r="C16" s="74" t="s">
        <v>152</v>
      </c>
      <c r="D16" s="74" t="s">
        <v>153</v>
      </c>
      <c r="E16" s="74" t="s">
        <v>154</v>
      </c>
      <c r="F16" s="74" t="s">
        <v>155</v>
      </c>
    </row>
    <row r="17" spans="1:6" ht="14" customHeight="1">
      <c r="A17" s="184">
        <v>0</v>
      </c>
      <c r="B17" s="98">
        <f>A17*$F$20</f>
        <v>0</v>
      </c>
      <c r="C17" s="98">
        <f>$F$7</f>
        <v>6210000</v>
      </c>
      <c r="D17" s="98">
        <f>$F$18*A17</f>
        <v>0</v>
      </c>
      <c r="E17" s="98">
        <f>D17+C17</f>
        <v>6210000</v>
      </c>
      <c r="F17" s="99">
        <f>B17-E17</f>
        <v>-6210000</v>
      </c>
    </row>
    <row r="18" spans="1:6" ht="14" customHeight="1">
      <c r="A18" s="184">
        <f>A17+F4</f>
        <v>325000</v>
      </c>
      <c r="B18" s="98">
        <f>A18*$F$9</f>
        <v>1137500</v>
      </c>
      <c r="C18" s="98">
        <f t="shared" ref="C18:C29" si="0">$F$7</f>
        <v>6210000</v>
      </c>
      <c r="D18" s="98">
        <f>A18*$F$10</f>
        <v>113750.00000000001</v>
      </c>
      <c r="E18" s="98">
        <f t="shared" ref="E18:E29" si="1">D18+C18</f>
        <v>6323750</v>
      </c>
      <c r="F18" s="99">
        <f t="shared" ref="F18:F29" si="2">B18-E18</f>
        <v>-5186250</v>
      </c>
    </row>
    <row r="19" spans="1:6" ht="14" customHeight="1">
      <c r="A19" s="184">
        <f>A18+$F$4</f>
        <v>650000</v>
      </c>
      <c r="B19" s="98">
        <f t="shared" ref="B19:B29" si="3">A19*$F$9</f>
        <v>2275000</v>
      </c>
      <c r="C19" s="98">
        <f t="shared" si="0"/>
        <v>6210000</v>
      </c>
      <c r="D19" s="98">
        <f t="shared" ref="D19:D29" si="4">A19*$F$10</f>
        <v>227500.00000000003</v>
      </c>
      <c r="E19" s="98">
        <f t="shared" si="1"/>
        <v>6437500</v>
      </c>
      <c r="F19" s="99">
        <f t="shared" si="2"/>
        <v>-4162500</v>
      </c>
    </row>
    <row r="20" spans="1:6" ht="14" customHeight="1">
      <c r="A20" s="184">
        <f t="shared" ref="A20:A29" si="5">A19+$F$4</f>
        <v>975000</v>
      </c>
      <c r="B20" s="98">
        <f t="shared" si="3"/>
        <v>3412500</v>
      </c>
      <c r="C20" s="98">
        <f t="shared" si="0"/>
        <v>6210000</v>
      </c>
      <c r="D20" s="98">
        <f t="shared" si="4"/>
        <v>341250.00000000006</v>
      </c>
      <c r="E20" s="98">
        <f t="shared" si="1"/>
        <v>6551250</v>
      </c>
      <c r="F20" s="99">
        <f t="shared" si="2"/>
        <v>-3138750</v>
      </c>
    </row>
    <row r="21" spans="1:6" ht="14" customHeight="1">
      <c r="A21" s="184">
        <f t="shared" si="5"/>
        <v>1300000</v>
      </c>
      <c r="B21" s="98">
        <f t="shared" si="3"/>
        <v>4550000</v>
      </c>
      <c r="C21" s="98">
        <f t="shared" si="0"/>
        <v>6210000</v>
      </c>
      <c r="D21" s="98">
        <f t="shared" si="4"/>
        <v>455000.00000000006</v>
      </c>
      <c r="E21" s="98">
        <f t="shared" si="1"/>
        <v>6665000</v>
      </c>
      <c r="F21" s="99">
        <f t="shared" si="2"/>
        <v>-2115000</v>
      </c>
    </row>
    <row r="22" spans="1:6" ht="14" customHeight="1">
      <c r="A22" s="184">
        <f t="shared" si="5"/>
        <v>1625000</v>
      </c>
      <c r="B22" s="98">
        <f t="shared" si="3"/>
        <v>5687500</v>
      </c>
      <c r="C22" s="98">
        <f t="shared" si="0"/>
        <v>6210000</v>
      </c>
      <c r="D22" s="98">
        <f t="shared" si="4"/>
        <v>568750</v>
      </c>
      <c r="E22" s="98">
        <f t="shared" si="1"/>
        <v>6778750</v>
      </c>
      <c r="F22" s="99">
        <f t="shared" si="2"/>
        <v>-1091250</v>
      </c>
    </row>
    <row r="23" spans="1:6" ht="14" customHeight="1">
      <c r="A23" s="184">
        <f t="shared" si="5"/>
        <v>1950000</v>
      </c>
      <c r="B23" s="98">
        <f t="shared" si="3"/>
        <v>6825000</v>
      </c>
      <c r="C23" s="98">
        <f t="shared" si="0"/>
        <v>6210000</v>
      </c>
      <c r="D23" s="98">
        <f t="shared" si="4"/>
        <v>682500.00000000012</v>
      </c>
      <c r="E23" s="98">
        <f t="shared" si="1"/>
        <v>6892500</v>
      </c>
      <c r="F23" s="99">
        <f t="shared" si="2"/>
        <v>-67500</v>
      </c>
    </row>
    <row r="24" spans="1:6" ht="14" customHeight="1">
      <c r="A24" s="184">
        <f t="shared" si="5"/>
        <v>2275000</v>
      </c>
      <c r="B24" s="98">
        <f t="shared" si="3"/>
        <v>7962500</v>
      </c>
      <c r="C24" s="98">
        <f t="shared" si="0"/>
        <v>6210000</v>
      </c>
      <c r="D24" s="98">
        <f t="shared" si="4"/>
        <v>796250.00000000012</v>
      </c>
      <c r="E24" s="98">
        <f t="shared" si="1"/>
        <v>7006250</v>
      </c>
      <c r="F24" s="99">
        <f t="shared" si="2"/>
        <v>956250</v>
      </c>
    </row>
    <row r="25" spans="1:6" ht="14" customHeight="1">
      <c r="A25" s="184">
        <f t="shared" si="5"/>
        <v>2600000</v>
      </c>
      <c r="B25" s="98">
        <f t="shared" si="3"/>
        <v>9100000</v>
      </c>
      <c r="C25" s="98">
        <f t="shared" si="0"/>
        <v>6210000</v>
      </c>
      <c r="D25" s="98">
        <f t="shared" si="4"/>
        <v>910000.00000000012</v>
      </c>
      <c r="E25" s="98">
        <f t="shared" si="1"/>
        <v>7120000</v>
      </c>
      <c r="F25" s="99">
        <f t="shared" si="2"/>
        <v>1980000</v>
      </c>
    </row>
    <row r="26" spans="1:6" ht="14" customHeight="1">
      <c r="A26" s="184">
        <f t="shared" si="5"/>
        <v>2925000</v>
      </c>
      <c r="B26" s="98">
        <f t="shared" si="3"/>
        <v>10237500</v>
      </c>
      <c r="C26" s="98">
        <f t="shared" si="0"/>
        <v>6210000</v>
      </c>
      <c r="D26" s="98">
        <f t="shared" si="4"/>
        <v>1023750.0000000001</v>
      </c>
      <c r="E26" s="98">
        <f t="shared" si="1"/>
        <v>7233750</v>
      </c>
      <c r="F26" s="99">
        <f t="shared" si="2"/>
        <v>3003750</v>
      </c>
    </row>
    <row r="27" spans="1:6" ht="14" customHeight="1">
      <c r="A27" s="184">
        <f t="shared" si="5"/>
        <v>3250000</v>
      </c>
      <c r="B27" s="98">
        <f t="shared" si="3"/>
        <v>11375000</v>
      </c>
      <c r="C27" s="98">
        <f t="shared" si="0"/>
        <v>6210000</v>
      </c>
      <c r="D27" s="98">
        <f t="shared" si="4"/>
        <v>1137500</v>
      </c>
      <c r="E27" s="98">
        <f t="shared" si="1"/>
        <v>7347500</v>
      </c>
      <c r="F27" s="99">
        <f t="shared" si="2"/>
        <v>4027500</v>
      </c>
    </row>
    <row r="28" spans="1:6" ht="14" customHeight="1">
      <c r="A28" s="184">
        <f t="shared" si="5"/>
        <v>3575000</v>
      </c>
      <c r="B28" s="98">
        <f t="shared" si="3"/>
        <v>12512500</v>
      </c>
      <c r="C28" s="98">
        <f t="shared" si="0"/>
        <v>6210000</v>
      </c>
      <c r="D28" s="98">
        <f t="shared" si="4"/>
        <v>1251250.0000000002</v>
      </c>
      <c r="E28" s="98">
        <f t="shared" si="1"/>
        <v>7461250</v>
      </c>
      <c r="F28" s="99">
        <f t="shared" si="2"/>
        <v>5051250</v>
      </c>
    </row>
    <row r="29" spans="1:6" ht="14" customHeight="1">
      <c r="A29" s="184">
        <f t="shared" si="5"/>
        <v>3900000</v>
      </c>
      <c r="B29" s="98">
        <f t="shared" si="3"/>
        <v>13650000</v>
      </c>
      <c r="C29" s="98">
        <f t="shared" si="0"/>
        <v>6210000</v>
      </c>
      <c r="D29" s="98">
        <f t="shared" si="4"/>
        <v>1365000.0000000002</v>
      </c>
      <c r="E29" s="98">
        <f t="shared" si="1"/>
        <v>7575000</v>
      </c>
      <c r="F29" s="99">
        <f t="shared" si="2"/>
        <v>6075000</v>
      </c>
    </row>
  </sheetData>
  <mergeCells count="4">
    <mergeCell ref="A1:F1"/>
    <mergeCell ref="A15:F15"/>
    <mergeCell ref="A3:F3"/>
    <mergeCell ref="A6:F6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EA2B-E948-9841-8C20-BE2168898554}">
  <sheetPr>
    <tabColor theme="9"/>
  </sheetPr>
  <dimension ref="A1:H32"/>
  <sheetViews>
    <sheetView showGridLines="0" zoomScaleNormal="100" workbookViewId="0">
      <selection sqref="A1:G1"/>
    </sheetView>
  </sheetViews>
  <sheetFormatPr baseColWidth="10" defaultColWidth="11.5" defaultRowHeight="13"/>
  <cols>
    <col min="1" max="1" width="3.33203125" customWidth="1"/>
    <col min="2" max="2" width="23.1640625" bestFit="1" customWidth="1"/>
    <col min="3" max="7" width="10.83203125" customWidth="1"/>
    <col min="8" max="8" width="7.1640625" bestFit="1" customWidth="1"/>
  </cols>
  <sheetData>
    <row r="1" spans="1:8" ht="14" customHeight="1">
      <c r="A1" s="556" t="s">
        <v>166</v>
      </c>
      <c r="B1" s="556"/>
      <c r="C1" s="556"/>
      <c r="D1" s="556"/>
      <c r="E1" s="556"/>
      <c r="F1" s="556"/>
      <c r="G1" s="556"/>
      <c r="H1" s="3"/>
    </row>
    <row r="2" spans="1:8" ht="14" customHeight="1">
      <c r="A2" s="216"/>
      <c r="B2" s="216"/>
      <c r="C2" s="217">
        <f>EDATE('2) Assumptions'!$D$5,11)</f>
        <v>45261</v>
      </c>
      <c r="D2" s="217">
        <f>EDATE('2) Assumptions'!$D$5,23)</f>
        <v>45627</v>
      </c>
      <c r="E2" s="217">
        <f>EDATE('2) Assumptions'!$D$5,35)</f>
        <v>45992</v>
      </c>
      <c r="F2" s="217">
        <f>EDATE('2) Assumptions'!$D$5,47)</f>
        <v>46357</v>
      </c>
      <c r="G2" s="217">
        <f>EDATE('2) Assumptions'!$D$5,59)</f>
        <v>46722</v>
      </c>
      <c r="H2" s="68"/>
    </row>
    <row r="3" spans="1:8" ht="14" customHeight="1">
      <c r="A3" s="218" t="s">
        <v>72</v>
      </c>
      <c r="B3" s="218"/>
      <c r="C3" s="219"/>
      <c r="D3" s="219"/>
      <c r="E3" s="219"/>
      <c r="F3" s="219"/>
      <c r="G3" s="219"/>
      <c r="H3" s="68"/>
    </row>
    <row r="4" spans="1:8" ht="14" customHeight="1">
      <c r="A4" s="199"/>
      <c r="B4" s="199" t="s">
        <v>67</v>
      </c>
      <c r="C4" s="220">
        <f>IFERROR((SUM('Balance Sheet'!D7:D10))/(SUM('Balance Sheet'!D18:D18)),0)</f>
        <v>13.281745569061522</v>
      </c>
      <c r="D4" s="220">
        <f>IFERROR((SUM('Balance Sheet'!E7:E10))/(SUM('Balance Sheet'!E18:E18)),0)</f>
        <v>15.226671347542363</v>
      </c>
      <c r="E4" s="220">
        <f>IFERROR((SUM('Balance Sheet'!F7:F10))/(SUM('Balance Sheet'!F18:F18)),0)</f>
        <v>21.164544067102717</v>
      </c>
      <c r="F4" s="220">
        <f>IFERROR((SUM('Balance Sheet'!G7:G10))/(SUM('Balance Sheet'!G18:G18)),0)</f>
        <v>30.246287146712646</v>
      </c>
      <c r="G4" s="220">
        <f>IFERROR((SUM('Balance Sheet'!H7:H10))/(SUM('Balance Sheet'!H18:H18)),0)</f>
        <v>41.991205988718107</v>
      </c>
      <c r="H4" s="68"/>
    </row>
    <row r="5" spans="1:8" ht="14" customHeight="1">
      <c r="A5" s="199"/>
      <c r="B5" s="199" t="s">
        <v>68</v>
      </c>
      <c r="C5" s="220">
        <f>IFERROR(('Balance Sheet'!D7+'Balance Sheet'!D8+'Balance Sheet'!D10)/('Balance Sheet'!D18),0)</f>
        <v>13.185414746047302</v>
      </c>
      <c r="D5" s="220">
        <f>IFERROR(('Balance Sheet'!E7+'Balance Sheet'!E8+'Balance Sheet'!E10)/('Balance Sheet'!E18),0)</f>
        <v>15.0926026691355</v>
      </c>
      <c r="E5" s="220">
        <f>IFERROR(('Balance Sheet'!F7+'Balance Sheet'!F8+'Balance Sheet'!F10)/('Balance Sheet'!F18),0)</f>
        <v>20.985362071233098</v>
      </c>
      <c r="F5" s="220">
        <f>IFERROR(('Balance Sheet'!G7+'Balance Sheet'!G8+'Balance Sheet'!G10)/('Balance Sheet'!G18),0)</f>
        <v>30.014375901867055</v>
      </c>
      <c r="G5" s="220">
        <f>IFERROR(('Balance Sheet'!H7+'Balance Sheet'!H8+'Balance Sheet'!H10)/('Balance Sheet'!H18),0)</f>
        <v>41.698158979164731</v>
      </c>
      <c r="H5" s="68"/>
    </row>
    <row r="6" spans="1:8" ht="14" customHeight="1">
      <c r="A6" s="199"/>
      <c r="B6" s="199" t="s">
        <v>83</v>
      </c>
      <c r="C6" s="220">
        <f>IFERROR(('Balance Sheet'!D7+'Balance Sheet'!D8)/('Balance Sheet'!D18),0)</f>
        <v>13.087478409316178</v>
      </c>
      <c r="D6" s="220">
        <f>IFERROR(('Balance Sheet'!E7+'Balance Sheet'!E8)/('Balance Sheet'!E18),0)</f>
        <v>14.956299512755189</v>
      </c>
      <c r="E6" s="220">
        <f>IFERROR(('Balance Sheet'!F7+'Balance Sheet'!F8)/('Balance Sheet'!F18),0)</f>
        <v>20.803193708765651</v>
      </c>
      <c r="F6" s="220">
        <f>IFERROR(('Balance Sheet'!G7+'Balance Sheet'!G8)/('Balance Sheet'!G18),0)</f>
        <v>29.778599469607371</v>
      </c>
      <c r="G6" s="220">
        <f>IFERROR(('Balance Sheet'!H7+'Balance Sheet'!H8)/('Balance Sheet'!H18),0)</f>
        <v>41.40022785278547</v>
      </c>
      <c r="H6" s="68"/>
    </row>
    <row r="7" spans="1:8" ht="14" customHeight="1">
      <c r="A7" s="218" t="s">
        <v>73</v>
      </c>
      <c r="B7" s="218"/>
      <c r="C7" s="221"/>
      <c r="D7" s="221"/>
      <c r="E7" s="221"/>
      <c r="F7" s="221"/>
      <c r="G7" s="221"/>
      <c r="H7" s="68"/>
    </row>
    <row r="8" spans="1:8" ht="14" customHeight="1">
      <c r="A8" s="199"/>
      <c r="B8" s="199" t="s">
        <v>69</v>
      </c>
      <c r="C8" s="220">
        <f>('Income Statement'!C5)/(('Balance Sheet'!D38+'Balance Sheet'!D8)/2)</f>
        <v>11.649917966895377</v>
      </c>
      <c r="D8" s="220">
        <f>('Income Statement'!D5)/(('Balance Sheet'!D8+'Balance Sheet'!E8)/2)</f>
        <v>11.908286030789501</v>
      </c>
      <c r="E8" s="220">
        <f>('Income Statement'!E5)/(('Balance Sheet'!E8+'Balance Sheet'!F8)/2)</f>
        <v>11.908286030789503</v>
      </c>
      <c r="F8" s="220">
        <f>('Income Statement'!F5)/(('Balance Sheet'!F8+'Balance Sheet'!G8)/2)</f>
        <v>11.908286030789499</v>
      </c>
      <c r="G8" s="220">
        <f>('Income Statement'!G5)/(('Balance Sheet'!G8+'Balance Sheet'!H8)/2)</f>
        <v>11.908286030789501</v>
      </c>
      <c r="H8" s="68"/>
    </row>
    <row r="9" spans="1:8" ht="14" customHeight="1">
      <c r="A9" s="199"/>
      <c r="B9" s="199" t="s">
        <v>70</v>
      </c>
      <c r="C9" s="220">
        <f>IFERROR(('Income Statement'!C6)/(('Balance Sheet'!D39+'Balance Sheet'!D9)/2),0)</f>
        <v>23.299835933790753</v>
      </c>
      <c r="D9" s="220">
        <f>IFERROR(('Income Statement'!D6)/(('Balance Sheet'!E39+'Balance Sheet'!E9)/2),0)</f>
        <v>28.093177962357384</v>
      </c>
      <c r="E9" s="220">
        <f>IFERROR(('Income Statement'!E6)/(('Balance Sheet'!F39+'Balance Sheet'!F9)/2),0)</f>
        <v>30.968690687365282</v>
      </c>
      <c r="F9" s="220">
        <f>IFERROR(('Income Statement'!F6)/(('Balance Sheet'!G39+'Balance Sheet'!G9)/2),0)</f>
        <v>32.468671978897603</v>
      </c>
      <c r="G9" s="220">
        <f>IFERROR(('Income Statement'!G6)/(('Balance Sheet'!H39+'Balance Sheet'!H9)/2),0)</f>
        <v>33.194333071899045</v>
      </c>
      <c r="H9" s="68"/>
    </row>
    <row r="10" spans="1:8" ht="14" customHeight="1">
      <c r="A10" s="199"/>
      <c r="B10" s="199" t="s">
        <v>81</v>
      </c>
      <c r="C10" s="220">
        <f>('Income Statement'!C5)/('Balance Sheet'!D14)</f>
        <v>0.28578071803581018</v>
      </c>
      <c r="D10" s="220">
        <f>('Income Statement'!D5)/('Balance Sheet'!E14)</f>
        <v>0.60268998467499879</v>
      </c>
      <c r="E10" s="220">
        <f>('Income Statement'!E5)/('Balance Sheet'!F14)</f>
        <v>0.94811045016322415</v>
      </c>
      <c r="F10" s="220">
        <f>('Income Statement'!F5)/('Balance Sheet'!G14)</f>
        <v>1.115650306985686</v>
      </c>
      <c r="G10" s="220">
        <f>('Income Statement'!G5)/('Balance Sheet'!H14)</f>
        <v>1.1240467848307272</v>
      </c>
      <c r="H10" s="68"/>
    </row>
    <row r="11" spans="1:8" ht="14" customHeight="1">
      <c r="A11" s="218" t="s">
        <v>71</v>
      </c>
      <c r="B11" s="218"/>
      <c r="C11" s="221"/>
      <c r="D11" s="221"/>
      <c r="E11" s="221"/>
      <c r="F11" s="221"/>
      <c r="G11" s="221"/>
      <c r="H11" s="68"/>
    </row>
    <row r="12" spans="1:8" ht="14" customHeight="1">
      <c r="A12" s="199"/>
      <c r="B12" s="199" t="s">
        <v>31</v>
      </c>
      <c r="C12" s="222">
        <f>('Income Statement'!C7)/('Income Statement'!C5)</f>
        <v>0.90000000000000013</v>
      </c>
      <c r="D12" s="222">
        <f>('Income Statement'!D7)/('Income Statement'!D5)</f>
        <v>0.9</v>
      </c>
      <c r="E12" s="222">
        <f>('Income Statement'!E7)/('Income Statement'!E5)</f>
        <v>0.89999999999999991</v>
      </c>
      <c r="F12" s="222">
        <f>('Income Statement'!F7)/('Income Statement'!F5)</f>
        <v>0.90000000000000024</v>
      </c>
      <c r="G12" s="222">
        <f>('Income Statement'!G7)/('Income Statement'!G5)</f>
        <v>0.9</v>
      </c>
      <c r="H12" s="68"/>
    </row>
    <row r="13" spans="1:8" ht="14" customHeight="1">
      <c r="A13" s="199"/>
      <c r="B13" s="199" t="s">
        <v>82</v>
      </c>
      <c r="C13" s="222">
        <f>('Income Statement'!C26-'Income Statement'!C27)/('Income Statement'!C5)</f>
        <v>-0.18073193032038048</v>
      </c>
      <c r="D13" s="222">
        <f>('Income Statement'!D26-'Income Statement'!D27)/('Income Statement'!D5)</f>
        <v>0.22254046157066021</v>
      </c>
      <c r="E13" s="222">
        <f>('Income Statement'!E26-'Income Statement'!E27)/('Income Statement'!E5)</f>
        <v>0.43883762323390613</v>
      </c>
      <c r="F13" s="222">
        <f>('Income Statement'!F26-'Income Statement'!F27)/('Income Statement'!F5)</f>
        <v>0.56431851019224522</v>
      </c>
      <c r="G13" s="222">
        <f>('Income Statement'!G26-'Income Statement'!G27)/('Income Statement'!G5)</f>
        <v>0.64346937424766493</v>
      </c>
      <c r="H13" s="68"/>
    </row>
    <row r="14" spans="1:8" ht="14" customHeight="1">
      <c r="A14" s="199"/>
      <c r="B14" s="199" t="s">
        <v>74</v>
      </c>
      <c r="C14" s="222">
        <f>('Income Statement'!C31)/('Income Statement'!C5)</f>
        <v>-0.18073193032038048</v>
      </c>
      <c r="D14" s="222">
        <f>('Income Statement'!D31)/('Income Statement'!D5)</f>
        <v>0.1717431140144669</v>
      </c>
      <c r="E14" s="222">
        <f>('Income Statement'!E31)/('Income Statement'!E5)</f>
        <v>0.34360985899214858</v>
      </c>
      <c r="F14" s="222">
        <f>('Income Statement'!F31)/('Income Statement'!F5)</f>
        <v>0.441861393480528</v>
      </c>
      <c r="G14" s="222">
        <f>('Income Statement'!G31)/('Income Statement'!G5)</f>
        <v>0.50383652003592172</v>
      </c>
      <c r="H14" s="68"/>
    </row>
    <row r="15" spans="1:8" ht="14" customHeight="1">
      <c r="A15" s="199"/>
      <c r="B15" s="199" t="s">
        <v>75</v>
      </c>
      <c r="C15" s="222">
        <f>('Income Statement'!C31)/('Balance Sheet'!D14)</f>
        <v>-5.1649700818956347E-2</v>
      </c>
      <c r="D15" s="222">
        <f>('Income Statement'!D31)/('Balance Sheet'!E14)</f>
        <v>0.10350785475341563</v>
      </c>
      <c r="E15" s="222">
        <f>('Income Statement'!E31)/('Balance Sheet'!F14)</f>
        <v>0.32578009808956793</v>
      </c>
      <c r="F15" s="222">
        <f>('Income Statement'!F31)/('Balance Sheet'!G14)</f>
        <v>0.49296279928167408</v>
      </c>
      <c r="G15" s="222">
        <f>('Income Statement'!G31)/('Balance Sheet'!H14)</f>
        <v>0.56633582042668007</v>
      </c>
      <c r="H15" s="68"/>
    </row>
    <row r="16" spans="1:8" ht="14" customHeight="1">
      <c r="A16" s="199"/>
      <c r="B16" s="199" t="s">
        <v>76</v>
      </c>
      <c r="C16" s="222">
        <f>('Income Statement'!C31)/('Balance Sheet'!D25)</f>
        <v>-5.2572123958761152E-2</v>
      </c>
      <c r="D16" s="222">
        <f>('Income Statement'!D31)/('Balance Sheet'!E25)</f>
        <v>0.1063350118631831</v>
      </c>
      <c r="E16" s="222">
        <f>('Income Statement'!E31)/('Balance Sheet'!F25)</f>
        <v>0.33630467088539873</v>
      </c>
      <c r="F16" s="222">
        <f>('Income Statement'!F31)/('Balance Sheet'!G25)</f>
        <v>0.50739934183224089</v>
      </c>
      <c r="G16" s="222">
        <f>('Income Statement'!G31)/('Balance Sheet'!H25)</f>
        <v>0.5794818295683698</v>
      </c>
      <c r="H16" s="68"/>
    </row>
    <row r="17" spans="1:8" ht="14" customHeight="1">
      <c r="A17" s="218" t="s">
        <v>77</v>
      </c>
      <c r="B17" s="218"/>
      <c r="C17" s="221"/>
      <c r="D17" s="221"/>
      <c r="E17" s="221"/>
      <c r="F17" s="221"/>
      <c r="G17" s="221"/>
      <c r="H17" s="68"/>
    </row>
    <row r="18" spans="1:8" ht="14" customHeight="1">
      <c r="A18" s="199"/>
      <c r="B18" s="199" t="s">
        <v>78</v>
      </c>
      <c r="C18" s="220">
        <f>('Balance Sheet'!D20+'Balance Sheet'!D18)/('Balance Sheet'!D25)</f>
        <v>1.7859215545857669E-2</v>
      </c>
      <c r="D18" s="220">
        <f>('Balance Sheet'!E20+'Balance Sheet'!E18)/('Balance Sheet'!E25)</f>
        <v>2.7313454775992896E-2</v>
      </c>
      <c r="E18" s="220">
        <f>('Balance Sheet'!F20+'Balance Sheet'!F18)/('Balance Sheet'!F25)</f>
        <v>3.230575734229562E-2</v>
      </c>
      <c r="F18" s="220">
        <f>('Balance Sheet'!G20+'Balance Sheet'!G18)/('Balance Sheet'!G25)</f>
        <v>2.9285257572383157E-2</v>
      </c>
      <c r="G18" s="220">
        <f>('Balance Sheet'!H20+'Balance Sheet'!H18)/('Balance Sheet'!H25)</f>
        <v>2.3212392131201669E-2</v>
      </c>
      <c r="H18" s="68"/>
    </row>
    <row r="19" spans="1:8" ht="14" customHeight="1">
      <c r="A19" s="199"/>
      <c r="B19" s="199" t="s">
        <v>79</v>
      </c>
      <c r="C19" s="220">
        <f>('Balance Sheet'!D20+'Balance Sheet'!D18)/('Balance Sheet'!D14)</f>
        <v>1.75458602457906E-2</v>
      </c>
      <c r="D19" s="220">
        <f>('Balance Sheet'!E20+'Balance Sheet'!E18)/('Balance Sheet'!E14)</f>
        <v>2.6587264723354209E-2</v>
      </c>
      <c r="E19" s="220">
        <f>('Balance Sheet'!F20+'Balance Sheet'!F18)/('Balance Sheet'!F14)</f>
        <v>3.1294756531696423E-2</v>
      </c>
      <c r="F19" s="220">
        <f>('Balance Sheet'!G20+'Balance Sheet'!G18)/('Balance Sheet'!G14)</f>
        <v>2.8452032472954865E-2</v>
      </c>
      <c r="G19" s="220">
        <f>('Balance Sheet'!H20+'Balance Sheet'!H18)/('Balance Sheet'!H14)</f>
        <v>2.2685800435678517E-2</v>
      </c>
      <c r="H19" s="68"/>
    </row>
    <row r="20" spans="1:8" ht="14" customHeight="1">
      <c r="A20" s="199"/>
      <c r="B20" s="199" t="s">
        <v>80</v>
      </c>
      <c r="C20" s="220">
        <f>IFERROR(('Income Statement'!C29+'Income Statement'!C28)/('Income Statement'!C28),0)</f>
        <v>0</v>
      </c>
      <c r="D20" s="220">
        <f>IFERROR(('Income Statement'!D29+'Income Statement'!D28)/('Income Statement'!D28),0)</f>
        <v>0</v>
      </c>
      <c r="E20" s="220">
        <f>IFERROR(('Income Statement'!E29+'Income Statement'!E28)/('Income Statement'!E28),0)</f>
        <v>0</v>
      </c>
      <c r="F20" s="220">
        <f>IFERROR(('Income Statement'!F29+'Income Statement'!F28)/('Income Statement'!F28),0)</f>
        <v>0</v>
      </c>
      <c r="G20" s="220">
        <f>IFERROR(('Income Statement'!G29+'Income Statement'!G28)/('Income Statement'!G28),0)</f>
        <v>0</v>
      </c>
      <c r="H20" s="68"/>
    </row>
    <row r="21" spans="1:8" ht="16">
      <c r="A21" s="69"/>
      <c r="B21" s="69"/>
      <c r="C21" s="69"/>
      <c r="D21" s="69"/>
      <c r="E21" s="69"/>
      <c r="F21" s="69"/>
      <c r="G21" s="69"/>
      <c r="H21" s="68"/>
    </row>
    <row r="22" spans="1:8" ht="16">
      <c r="B22" s="147"/>
      <c r="C22" s="147"/>
      <c r="D22" s="147"/>
      <c r="E22" s="147"/>
      <c r="F22" s="147"/>
      <c r="G22" s="147"/>
      <c r="H22" s="147"/>
    </row>
    <row r="23" spans="1:8" ht="16">
      <c r="B23" s="274"/>
      <c r="C23" s="274"/>
      <c r="D23" s="274"/>
      <c r="E23" s="274"/>
      <c r="F23" s="274"/>
      <c r="G23" s="274"/>
      <c r="H23" s="274"/>
    </row>
    <row r="24" spans="1:8" ht="16">
      <c r="B24" s="274"/>
      <c r="C24" s="274"/>
      <c r="D24" s="274"/>
      <c r="E24" s="274"/>
      <c r="F24" s="274"/>
      <c r="G24" s="274"/>
      <c r="H24" s="274"/>
    </row>
    <row r="25" spans="1:8" ht="16">
      <c r="B25" s="283"/>
      <c r="C25" s="284">
        <f>C2</f>
        <v>45261</v>
      </c>
      <c r="D25" s="284">
        <f t="shared" ref="D25:F25" si="0">D2</f>
        <v>45627</v>
      </c>
      <c r="E25" s="284">
        <f t="shared" si="0"/>
        <v>45992</v>
      </c>
      <c r="F25" s="284">
        <f t="shared" si="0"/>
        <v>46357</v>
      </c>
      <c r="G25" s="284">
        <f>G2</f>
        <v>46722</v>
      </c>
      <c r="H25" s="274"/>
    </row>
    <row r="26" spans="1:8" ht="16">
      <c r="B26" s="276" t="s">
        <v>31</v>
      </c>
      <c r="C26" s="285">
        <f>C12</f>
        <v>0.90000000000000013</v>
      </c>
      <c r="D26" s="285">
        <f t="shared" ref="D26:G26" si="1">D12</f>
        <v>0.9</v>
      </c>
      <c r="E26" s="285">
        <f t="shared" si="1"/>
        <v>0.89999999999999991</v>
      </c>
      <c r="F26" s="285">
        <f t="shared" si="1"/>
        <v>0.90000000000000024</v>
      </c>
      <c r="G26" s="285">
        <f t="shared" si="1"/>
        <v>0.9</v>
      </c>
      <c r="H26" s="274"/>
    </row>
    <row r="27" spans="1:8" ht="16">
      <c r="B27" s="276" t="s">
        <v>82</v>
      </c>
      <c r="C27" s="285">
        <f t="shared" ref="C27:G28" si="2">C13</f>
        <v>-0.18073193032038048</v>
      </c>
      <c r="D27" s="285">
        <f t="shared" si="2"/>
        <v>0.22254046157066021</v>
      </c>
      <c r="E27" s="285">
        <f t="shared" si="2"/>
        <v>0.43883762323390613</v>
      </c>
      <c r="F27" s="285">
        <f t="shared" si="2"/>
        <v>0.56431851019224522</v>
      </c>
      <c r="G27" s="285">
        <f t="shared" si="2"/>
        <v>0.64346937424766493</v>
      </c>
      <c r="H27" s="274"/>
    </row>
    <row r="28" spans="1:8" ht="16">
      <c r="B28" s="276" t="s">
        <v>74</v>
      </c>
      <c r="C28" s="285">
        <f t="shared" si="2"/>
        <v>-0.18073193032038048</v>
      </c>
      <c r="D28" s="285">
        <f t="shared" ref="D28:G28" si="3">D14</f>
        <v>0.1717431140144669</v>
      </c>
      <c r="E28" s="285">
        <f t="shared" si="3"/>
        <v>0.34360985899214858</v>
      </c>
      <c r="F28" s="285">
        <f t="shared" si="3"/>
        <v>0.441861393480528</v>
      </c>
      <c r="G28" s="285">
        <f t="shared" si="3"/>
        <v>0.50383652003592172</v>
      </c>
      <c r="H28" s="274"/>
    </row>
    <row r="29" spans="1:8" ht="16">
      <c r="B29" s="283" t="s">
        <v>198</v>
      </c>
      <c r="C29" s="285">
        <f t="shared" ref="C29:G29" si="4">C15</f>
        <v>-5.1649700818956347E-2</v>
      </c>
      <c r="D29" s="285">
        <f t="shared" si="4"/>
        <v>0.10350785475341563</v>
      </c>
      <c r="E29" s="285">
        <f t="shared" si="4"/>
        <v>0.32578009808956793</v>
      </c>
      <c r="F29" s="285">
        <f t="shared" si="4"/>
        <v>0.49296279928167408</v>
      </c>
      <c r="G29" s="285">
        <f t="shared" si="4"/>
        <v>0.56633582042668007</v>
      </c>
      <c r="H29" s="274"/>
    </row>
    <row r="30" spans="1:8" ht="16">
      <c r="B30" s="283" t="s">
        <v>199</v>
      </c>
      <c r="C30" s="285">
        <f t="shared" ref="C30:G30" si="5">C16</f>
        <v>-5.2572123958761152E-2</v>
      </c>
      <c r="D30" s="285">
        <f t="shared" si="5"/>
        <v>0.1063350118631831</v>
      </c>
      <c r="E30" s="285">
        <f t="shared" si="5"/>
        <v>0.33630467088539873</v>
      </c>
      <c r="F30" s="285">
        <f t="shared" si="5"/>
        <v>0.50739934183224089</v>
      </c>
      <c r="G30" s="285">
        <f t="shared" si="5"/>
        <v>0.5794818295683698</v>
      </c>
      <c r="H30" s="274"/>
    </row>
    <row r="31" spans="1:8" ht="16">
      <c r="B31" s="274"/>
      <c r="C31" s="274"/>
      <c r="D31" s="274"/>
      <c r="E31" s="274"/>
      <c r="F31" s="274"/>
      <c r="G31" s="274"/>
      <c r="H31" s="274"/>
    </row>
    <row r="32" spans="1:8" ht="16">
      <c r="B32" s="2"/>
      <c r="C32" s="2"/>
      <c r="D32" s="2"/>
      <c r="E32" s="2"/>
      <c r="F32" s="2"/>
      <c r="G32" s="2"/>
      <c r="H32" s="2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3087-7F4D-4C4C-A790-7E66217B995B}">
  <sheetPr>
    <tabColor theme="9"/>
  </sheetPr>
  <dimension ref="A1:BK79"/>
  <sheetViews>
    <sheetView showGridLines="0" zoomScaleNormal="100" workbookViewId="0"/>
  </sheetViews>
  <sheetFormatPr baseColWidth="10" defaultColWidth="10.83203125" defaultRowHeight="14" outlineLevelRow="1"/>
  <cols>
    <col min="1" max="1" width="3.33203125" style="10" customWidth="1"/>
    <col min="2" max="2" width="16" style="10" customWidth="1"/>
    <col min="3" max="3" width="9.33203125" style="10" customWidth="1"/>
    <col min="4" max="63" width="13.1640625" style="10" customWidth="1"/>
    <col min="64" max="16384" width="10.83203125" style="10"/>
  </cols>
  <sheetData>
    <row r="1" spans="1:63" s="110" customFormat="1">
      <c r="A1" s="105" t="s">
        <v>55</v>
      </c>
    </row>
    <row r="2" spans="1:63" s="106" customFormat="1">
      <c r="D2" s="557">
        <f>'2) Assumptions'!$D$2</f>
        <v>45261</v>
      </c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>
        <f>'2) Assumptions'!$E$2</f>
        <v>45627</v>
      </c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>
        <f>'2) Assumptions'!$F$2</f>
        <v>45992</v>
      </c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>
        <f>'2) Assumptions'!$G$2</f>
        <v>46357</v>
      </c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>
        <f>'2) Assumptions'!$H$2</f>
        <v>46722</v>
      </c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</row>
    <row r="3" spans="1:63" s="106" customFormat="1">
      <c r="A3" s="107"/>
      <c r="B3" s="107"/>
      <c r="C3" s="107" t="s">
        <v>56</v>
      </c>
      <c r="D3" s="107">
        <f>EDATE('2) Assumptions'!$D$5,0)</f>
        <v>44927</v>
      </c>
      <c r="E3" s="107">
        <f>EDATE('2) Assumptions'!$D$5,1)</f>
        <v>44958</v>
      </c>
      <c r="F3" s="107">
        <f>EDATE('2) Assumptions'!$D$5,2)</f>
        <v>44986</v>
      </c>
      <c r="G3" s="107">
        <f>EDATE('2) Assumptions'!$D$5,3)</f>
        <v>45017</v>
      </c>
      <c r="H3" s="107">
        <f>EDATE('2) Assumptions'!$D$5,4)</f>
        <v>45047</v>
      </c>
      <c r="I3" s="107">
        <f>EDATE('2) Assumptions'!$D$5,5)</f>
        <v>45078</v>
      </c>
      <c r="J3" s="107">
        <f>EDATE('2) Assumptions'!$D$5,6)</f>
        <v>45108</v>
      </c>
      <c r="K3" s="107">
        <f>EDATE('2) Assumptions'!$D$5,7)</f>
        <v>45139</v>
      </c>
      <c r="L3" s="107">
        <f>EDATE('2) Assumptions'!$D$5,8)</f>
        <v>45170</v>
      </c>
      <c r="M3" s="107">
        <f>EDATE('2) Assumptions'!$D$5,9)</f>
        <v>45200</v>
      </c>
      <c r="N3" s="107">
        <f>EDATE('2) Assumptions'!$D$5,10)</f>
        <v>45231</v>
      </c>
      <c r="O3" s="107">
        <f>EDATE('2) Assumptions'!$D$5,11)</f>
        <v>45261</v>
      </c>
      <c r="P3" s="107">
        <f>EDATE('2) Assumptions'!$D$5,0)</f>
        <v>44927</v>
      </c>
      <c r="Q3" s="107">
        <f>EDATE('2) Assumptions'!$D$5,1)</f>
        <v>44958</v>
      </c>
      <c r="R3" s="107">
        <f>EDATE('2) Assumptions'!$D$5,2)</f>
        <v>44986</v>
      </c>
      <c r="S3" s="107">
        <f>EDATE('2) Assumptions'!$D$5,3)</f>
        <v>45017</v>
      </c>
      <c r="T3" s="107">
        <f>EDATE('2) Assumptions'!$D$5,4)</f>
        <v>45047</v>
      </c>
      <c r="U3" s="107">
        <f>EDATE('2) Assumptions'!$D$5,5)</f>
        <v>45078</v>
      </c>
      <c r="V3" s="107">
        <f>EDATE('2) Assumptions'!$D$5,6)</f>
        <v>45108</v>
      </c>
      <c r="W3" s="107">
        <f>EDATE('2) Assumptions'!$D$5,7)</f>
        <v>45139</v>
      </c>
      <c r="X3" s="107">
        <f>EDATE('2) Assumptions'!$D$5,8)</f>
        <v>45170</v>
      </c>
      <c r="Y3" s="107">
        <f>EDATE('2) Assumptions'!$D$5,9)</f>
        <v>45200</v>
      </c>
      <c r="Z3" s="107">
        <f>EDATE('2) Assumptions'!$D$5,10)</f>
        <v>45231</v>
      </c>
      <c r="AA3" s="107">
        <f>EDATE('2) Assumptions'!$D$5,11)</f>
        <v>45261</v>
      </c>
      <c r="AB3" s="107">
        <f>EDATE('2) Assumptions'!$D$5,0)</f>
        <v>44927</v>
      </c>
      <c r="AC3" s="107">
        <f>EDATE('2) Assumptions'!$D$5,1)</f>
        <v>44958</v>
      </c>
      <c r="AD3" s="107">
        <f>EDATE('2) Assumptions'!$D$5,2)</f>
        <v>44986</v>
      </c>
      <c r="AE3" s="107">
        <f>EDATE('2) Assumptions'!$D$5,3)</f>
        <v>45017</v>
      </c>
      <c r="AF3" s="107">
        <f>EDATE('2) Assumptions'!$D$5,4)</f>
        <v>45047</v>
      </c>
      <c r="AG3" s="107">
        <f>EDATE('2) Assumptions'!$D$5,5)</f>
        <v>45078</v>
      </c>
      <c r="AH3" s="107">
        <f>EDATE('2) Assumptions'!$D$5,6)</f>
        <v>45108</v>
      </c>
      <c r="AI3" s="107">
        <f>EDATE('2) Assumptions'!$D$5,7)</f>
        <v>45139</v>
      </c>
      <c r="AJ3" s="107">
        <f>EDATE('2) Assumptions'!$D$5,8)</f>
        <v>45170</v>
      </c>
      <c r="AK3" s="107">
        <f>EDATE('2) Assumptions'!$D$5,9)</f>
        <v>45200</v>
      </c>
      <c r="AL3" s="107">
        <f>EDATE('2) Assumptions'!$D$5,10)</f>
        <v>45231</v>
      </c>
      <c r="AM3" s="107">
        <f>EDATE('2) Assumptions'!$D$5,11)</f>
        <v>45261</v>
      </c>
      <c r="AN3" s="107">
        <f>EDATE('2) Assumptions'!$D$5,0)</f>
        <v>44927</v>
      </c>
      <c r="AO3" s="107">
        <f>EDATE('2) Assumptions'!$D$5,1)</f>
        <v>44958</v>
      </c>
      <c r="AP3" s="107">
        <f>EDATE('2) Assumptions'!$D$5,2)</f>
        <v>44986</v>
      </c>
      <c r="AQ3" s="107">
        <f>EDATE('2) Assumptions'!$D$5,3)</f>
        <v>45017</v>
      </c>
      <c r="AR3" s="107">
        <f>EDATE('2) Assumptions'!$D$5,4)</f>
        <v>45047</v>
      </c>
      <c r="AS3" s="107">
        <f>EDATE('2) Assumptions'!$D$5,5)</f>
        <v>45078</v>
      </c>
      <c r="AT3" s="107">
        <f>EDATE('2) Assumptions'!$D$5,6)</f>
        <v>45108</v>
      </c>
      <c r="AU3" s="107">
        <f>EDATE('2) Assumptions'!$D$5,7)</f>
        <v>45139</v>
      </c>
      <c r="AV3" s="107">
        <f>EDATE('2) Assumptions'!$D$5,8)</f>
        <v>45170</v>
      </c>
      <c r="AW3" s="107">
        <f>EDATE('2) Assumptions'!$D$5,9)</f>
        <v>45200</v>
      </c>
      <c r="AX3" s="107">
        <f>EDATE('2) Assumptions'!$D$5,10)</f>
        <v>45231</v>
      </c>
      <c r="AY3" s="107">
        <f>EDATE('2) Assumptions'!$D$5,11)</f>
        <v>45261</v>
      </c>
      <c r="AZ3" s="107">
        <f>EDATE('2) Assumptions'!$D$5,0)</f>
        <v>44927</v>
      </c>
      <c r="BA3" s="107">
        <f>EDATE('2) Assumptions'!$D$5,1)</f>
        <v>44958</v>
      </c>
      <c r="BB3" s="107">
        <f>EDATE('2) Assumptions'!$D$5,2)</f>
        <v>44986</v>
      </c>
      <c r="BC3" s="107">
        <f>EDATE('2) Assumptions'!$D$5,3)</f>
        <v>45017</v>
      </c>
      <c r="BD3" s="107">
        <f>EDATE('2) Assumptions'!$D$5,4)</f>
        <v>45047</v>
      </c>
      <c r="BE3" s="107">
        <f>EDATE('2) Assumptions'!$D$5,5)</f>
        <v>45078</v>
      </c>
      <c r="BF3" s="107">
        <f>EDATE('2) Assumptions'!$D$5,6)</f>
        <v>45108</v>
      </c>
      <c r="BG3" s="107">
        <f>EDATE('2) Assumptions'!$D$5,7)</f>
        <v>45139</v>
      </c>
      <c r="BH3" s="107">
        <f>EDATE('2) Assumptions'!$D$5,8)</f>
        <v>45170</v>
      </c>
      <c r="BI3" s="107">
        <f>EDATE('2) Assumptions'!$D$5,9)</f>
        <v>45200</v>
      </c>
      <c r="BJ3" s="107">
        <f>EDATE('2) Assumptions'!$D$5,10)</f>
        <v>45231</v>
      </c>
      <c r="BK3" s="107">
        <f>EDATE('2) Assumptions'!$D$5,11)</f>
        <v>45261</v>
      </c>
    </row>
    <row r="4" spans="1:63">
      <c r="A4" s="111" t="str">
        <f>'6) Capital '!A24</f>
        <v>Loan</v>
      </c>
      <c r="B4" s="112"/>
      <c r="C4" s="112"/>
    </row>
    <row r="5" spans="1:63" outlineLevel="1">
      <c r="A5" s="95"/>
      <c r="B5" s="109" t="s">
        <v>9</v>
      </c>
      <c r="C5" s="282">
        <f>'6) Capital '!E24</f>
        <v>0</v>
      </c>
      <c r="E5" s="13"/>
    </row>
    <row r="6" spans="1:63" outlineLevel="1">
      <c r="A6" s="95"/>
      <c r="B6" s="109" t="s">
        <v>10</v>
      </c>
      <c r="C6" s="113">
        <f>'6) Capital '!C24</f>
        <v>0</v>
      </c>
      <c r="E6" s="14"/>
    </row>
    <row r="7" spans="1:63" outlineLevel="1">
      <c r="A7" s="95"/>
      <c r="B7" s="109" t="s">
        <v>140</v>
      </c>
      <c r="C7" s="113">
        <f>((1+C6)^(1/12))-1</f>
        <v>0</v>
      </c>
      <c r="E7" s="14"/>
    </row>
    <row r="8" spans="1:63" outlineLevel="1">
      <c r="A8" s="95"/>
      <c r="B8" s="109" t="s">
        <v>11</v>
      </c>
      <c r="C8" s="114">
        <f>'6) Capital '!D24*12</f>
        <v>12</v>
      </c>
      <c r="E8" s="15"/>
    </row>
    <row r="9" spans="1:63" outlineLevel="1">
      <c r="A9" s="95"/>
      <c r="B9" s="109" t="s">
        <v>141</v>
      </c>
      <c r="C9" s="115">
        <f>-PMT(C7,C8,C5,0,0)</f>
        <v>0</v>
      </c>
      <c r="E9" s="15"/>
    </row>
    <row r="10" spans="1:63" outlineLevel="1">
      <c r="A10" s="95"/>
      <c r="B10" s="106"/>
      <c r="C10" s="106"/>
    </row>
    <row r="11" spans="1:63" outlineLevel="1">
      <c r="A11" s="95"/>
      <c r="B11" s="106" t="s">
        <v>0</v>
      </c>
      <c r="C11" s="106"/>
      <c r="D11" s="275">
        <f>C5*C7</f>
        <v>0</v>
      </c>
      <c r="E11" s="275">
        <f>IF(D13&gt;=0,D13*$C$7,0)</f>
        <v>0</v>
      </c>
      <c r="F11" s="275">
        <f t="shared" ref="F11:BJ11" si="0">IF(E13&gt;=0,E13*$C$7,0)</f>
        <v>0</v>
      </c>
      <c r="G11" s="275">
        <f t="shared" si="0"/>
        <v>0</v>
      </c>
      <c r="H11" s="275">
        <f t="shared" si="0"/>
        <v>0</v>
      </c>
      <c r="I11" s="275">
        <f t="shared" si="0"/>
        <v>0</v>
      </c>
      <c r="J11" s="275">
        <f t="shared" si="0"/>
        <v>0</v>
      </c>
      <c r="K11" s="275">
        <f t="shared" si="0"/>
        <v>0</v>
      </c>
      <c r="L11" s="275">
        <f t="shared" si="0"/>
        <v>0</v>
      </c>
      <c r="M11" s="275">
        <f t="shared" si="0"/>
        <v>0</v>
      </c>
      <c r="N11" s="275">
        <f t="shared" si="0"/>
        <v>0</v>
      </c>
      <c r="O11" s="275">
        <f t="shared" si="0"/>
        <v>0</v>
      </c>
      <c r="P11" s="275">
        <f t="shared" si="0"/>
        <v>0</v>
      </c>
      <c r="Q11" s="275">
        <f t="shared" si="0"/>
        <v>0</v>
      </c>
      <c r="R11" s="275">
        <f t="shared" si="0"/>
        <v>0</v>
      </c>
      <c r="S11" s="275">
        <f t="shared" si="0"/>
        <v>0</v>
      </c>
      <c r="T11" s="275">
        <f t="shared" si="0"/>
        <v>0</v>
      </c>
      <c r="U11" s="275">
        <f t="shared" si="0"/>
        <v>0</v>
      </c>
      <c r="V11" s="275">
        <f t="shared" si="0"/>
        <v>0</v>
      </c>
      <c r="W11" s="275">
        <f t="shared" si="0"/>
        <v>0</v>
      </c>
      <c r="X11" s="275">
        <f t="shared" si="0"/>
        <v>0</v>
      </c>
      <c r="Y11" s="275">
        <f t="shared" si="0"/>
        <v>0</v>
      </c>
      <c r="Z11" s="275">
        <f t="shared" si="0"/>
        <v>0</v>
      </c>
      <c r="AA11" s="275">
        <f t="shared" si="0"/>
        <v>0</v>
      </c>
      <c r="AB11" s="275">
        <f t="shared" si="0"/>
        <v>0</v>
      </c>
      <c r="AC11" s="275">
        <f t="shared" si="0"/>
        <v>0</v>
      </c>
      <c r="AD11" s="275">
        <f t="shared" si="0"/>
        <v>0</v>
      </c>
      <c r="AE11" s="275">
        <f t="shared" si="0"/>
        <v>0</v>
      </c>
      <c r="AF11" s="275">
        <f t="shared" si="0"/>
        <v>0</v>
      </c>
      <c r="AG11" s="275">
        <f t="shared" si="0"/>
        <v>0</v>
      </c>
      <c r="AH11" s="275">
        <f t="shared" si="0"/>
        <v>0</v>
      </c>
      <c r="AI11" s="275">
        <f t="shared" si="0"/>
        <v>0</v>
      </c>
      <c r="AJ11" s="275">
        <f t="shared" si="0"/>
        <v>0</v>
      </c>
      <c r="AK11" s="275">
        <f t="shared" si="0"/>
        <v>0</v>
      </c>
      <c r="AL11" s="275">
        <f t="shared" si="0"/>
        <v>0</v>
      </c>
      <c r="AM11" s="275">
        <f t="shared" si="0"/>
        <v>0</v>
      </c>
      <c r="AN11" s="275">
        <f t="shared" si="0"/>
        <v>0</v>
      </c>
      <c r="AO11" s="275">
        <f t="shared" si="0"/>
        <v>0</v>
      </c>
      <c r="AP11" s="275">
        <f t="shared" si="0"/>
        <v>0</v>
      </c>
      <c r="AQ11" s="275">
        <f t="shared" si="0"/>
        <v>0</v>
      </c>
      <c r="AR11" s="275">
        <f t="shared" si="0"/>
        <v>0</v>
      </c>
      <c r="AS11" s="275">
        <f t="shared" si="0"/>
        <v>0</v>
      </c>
      <c r="AT11" s="275">
        <f t="shared" si="0"/>
        <v>0</v>
      </c>
      <c r="AU11" s="275">
        <f t="shared" si="0"/>
        <v>0</v>
      </c>
      <c r="AV11" s="275">
        <f t="shared" si="0"/>
        <v>0</v>
      </c>
      <c r="AW11" s="275">
        <f t="shared" si="0"/>
        <v>0</v>
      </c>
      <c r="AX11" s="275">
        <f t="shared" si="0"/>
        <v>0</v>
      </c>
      <c r="AY11" s="275">
        <f t="shared" si="0"/>
        <v>0</v>
      </c>
      <c r="AZ11" s="275">
        <f t="shared" si="0"/>
        <v>0</v>
      </c>
      <c r="BA11" s="275">
        <f t="shared" si="0"/>
        <v>0</v>
      </c>
      <c r="BB11" s="275">
        <f t="shared" si="0"/>
        <v>0</v>
      </c>
      <c r="BC11" s="275">
        <f t="shared" si="0"/>
        <v>0</v>
      </c>
      <c r="BD11" s="275">
        <f t="shared" si="0"/>
        <v>0</v>
      </c>
      <c r="BE11" s="275">
        <f t="shared" si="0"/>
        <v>0</v>
      </c>
      <c r="BF11" s="275">
        <f t="shared" si="0"/>
        <v>0</v>
      </c>
      <c r="BG11" s="275">
        <f t="shared" si="0"/>
        <v>0</v>
      </c>
      <c r="BH11" s="275">
        <f t="shared" si="0"/>
        <v>0</v>
      </c>
      <c r="BI11" s="275">
        <f t="shared" si="0"/>
        <v>0</v>
      </c>
      <c r="BJ11" s="275">
        <f t="shared" si="0"/>
        <v>0</v>
      </c>
      <c r="BK11" s="275">
        <f>IF(BJ13&gt;=0,BJ13*$C$7,0)</f>
        <v>0</v>
      </c>
    </row>
    <row r="12" spans="1:63" outlineLevel="1">
      <c r="A12" s="95"/>
      <c r="B12" s="106" t="s">
        <v>130</v>
      </c>
      <c r="C12" s="106"/>
      <c r="D12" s="275">
        <f>C9-D11</f>
        <v>0</v>
      </c>
      <c r="E12" s="275">
        <f>IF(D13&gt;=0.0000001,$C$9-E11,0)</f>
        <v>0</v>
      </c>
      <c r="F12" s="275">
        <f t="shared" ref="F12:BJ12" si="1">IF(E13&gt;=0.0000001,$C$9-F11,0)</f>
        <v>0</v>
      </c>
      <c r="G12" s="275">
        <f t="shared" si="1"/>
        <v>0</v>
      </c>
      <c r="H12" s="275">
        <f t="shared" si="1"/>
        <v>0</v>
      </c>
      <c r="I12" s="275">
        <f t="shared" si="1"/>
        <v>0</v>
      </c>
      <c r="J12" s="275">
        <f t="shared" si="1"/>
        <v>0</v>
      </c>
      <c r="K12" s="275">
        <f t="shared" si="1"/>
        <v>0</v>
      </c>
      <c r="L12" s="275">
        <f t="shared" si="1"/>
        <v>0</v>
      </c>
      <c r="M12" s="275">
        <f t="shared" si="1"/>
        <v>0</v>
      </c>
      <c r="N12" s="275">
        <f t="shared" si="1"/>
        <v>0</v>
      </c>
      <c r="O12" s="275">
        <f t="shared" si="1"/>
        <v>0</v>
      </c>
      <c r="P12" s="275">
        <f t="shared" si="1"/>
        <v>0</v>
      </c>
      <c r="Q12" s="275">
        <f t="shared" si="1"/>
        <v>0</v>
      </c>
      <c r="R12" s="275">
        <f t="shared" si="1"/>
        <v>0</v>
      </c>
      <c r="S12" s="275">
        <f t="shared" si="1"/>
        <v>0</v>
      </c>
      <c r="T12" s="275">
        <f t="shared" si="1"/>
        <v>0</v>
      </c>
      <c r="U12" s="275">
        <f t="shared" si="1"/>
        <v>0</v>
      </c>
      <c r="V12" s="275">
        <f t="shared" si="1"/>
        <v>0</v>
      </c>
      <c r="W12" s="275">
        <f t="shared" si="1"/>
        <v>0</v>
      </c>
      <c r="X12" s="275">
        <f t="shared" si="1"/>
        <v>0</v>
      </c>
      <c r="Y12" s="275">
        <f t="shared" si="1"/>
        <v>0</v>
      </c>
      <c r="Z12" s="275">
        <f t="shared" si="1"/>
        <v>0</v>
      </c>
      <c r="AA12" s="275">
        <f t="shared" si="1"/>
        <v>0</v>
      </c>
      <c r="AB12" s="275">
        <f t="shared" si="1"/>
        <v>0</v>
      </c>
      <c r="AC12" s="275">
        <f t="shared" si="1"/>
        <v>0</v>
      </c>
      <c r="AD12" s="275">
        <f t="shared" si="1"/>
        <v>0</v>
      </c>
      <c r="AE12" s="275">
        <f t="shared" si="1"/>
        <v>0</v>
      </c>
      <c r="AF12" s="275">
        <f t="shared" si="1"/>
        <v>0</v>
      </c>
      <c r="AG12" s="275">
        <f t="shared" si="1"/>
        <v>0</v>
      </c>
      <c r="AH12" s="275">
        <f t="shared" si="1"/>
        <v>0</v>
      </c>
      <c r="AI12" s="275">
        <f t="shared" si="1"/>
        <v>0</v>
      </c>
      <c r="AJ12" s="275">
        <f t="shared" si="1"/>
        <v>0</v>
      </c>
      <c r="AK12" s="275">
        <f t="shared" si="1"/>
        <v>0</v>
      </c>
      <c r="AL12" s="275">
        <f t="shared" si="1"/>
        <v>0</v>
      </c>
      <c r="AM12" s="275">
        <f t="shared" si="1"/>
        <v>0</v>
      </c>
      <c r="AN12" s="275">
        <f t="shared" si="1"/>
        <v>0</v>
      </c>
      <c r="AO12" s="275">
        <f t="shared" si="1"/>
        <v>0</v>
      </c>
      <c r="AP12" s="275">
        <f t="shared" si="1"/>
        <v>0</v>
      </c>
      <c r="AQ12" s="275">
        <f t="shared" si="1"/>
        <v>0</v>
      </c>
      <c r="AR12" s="275">
        <f t="shared" si="1"/>
        <v>0</v>
      </c>
      <c r="AS12" s="275">
        <f t="shared" si="1"/>
        <v>0</v>
      </c>
      <c r="AT12" s="275">
        <f t="shared" si="1"/>
        <v>0</v>
      </c>
      <c r="AU12" s="275">
        <f t="shared" si="1"/>
        <v>0</v>
      </c>
      <c r="AV12" s="275">
        <f t="shared" si="1"/>
        <v>0</v>
      </c>
      <c r="AW12" s="275">
        <f t="shared" si="1"/>
        <v>0</v>
      </c>
      <c r="AX12" s="275">
        <f t="shared" si="1"/>
        <v>0</v>
      </c>
      <c r="AY12" s="275">
        <f t="shared" si="1"/>
        <v>0</v>
      </c>
      <c r="AZ12" s="275">
        <f t="shared" si="1"/>
        <v>0</v>
      </c>
      <c r="BA12" s="275">
        <f t="shared" si="1"/>
        <v>0</v>
      </c>
      <c r="BB12" s="275">
        <f t="shared" si="1"/>
        <v>0</v>
      </c>
      <c r="BC12" s="275">
        <f t="shared" si="1"/>
        <v>0</v>
      </c>
      <c r="BD12" s="275">
        <f t="shared" si="1"/>
        <v>0</v>
      </c>
      <c r="BE12" s="275">
        <f t="shared" si="1"/>
        <v>0</v>
      </c>
      <c r="BF12" s="275">
        <f t="shared" si="1"/>
        <v>0</v>
      </c>
      <c r="BG12" s="275">
        <f t="shared" si="1"/>
        <v>0</v>
      </c>
      <c r="BH12" s="275">
        <f t="shared" si="1"/>
        <v>0</v>
      </c>
      <c r="BI12" s="275">
        <f t="shared" si="1"/>
        <v>0</v>
      </c>
      <c r="BJ12" s="275">
        <f t="shared" si="1"/>
        <v>0</v>
      </c>
      <c r="BK12" s="275">
        <f>IF(BJ13&gt;=0.0000001,$C$9-BK11,0)</f>
        <v>0</v>
      </c>
    </row>
    <row r="13" spans="1:63" outlineLevel="1">
      <c r="A13" s="96"/>
      <c r="B13" s="116" t="s">
        <v>131</v>
      </c>
      <c r="C13" s="116"/>
      <c r="D13" s="165">
        <f>C5-D12</f>
        <v>0</v>
      </c>
      <c r="E13" s="165">
        <f>IF(E12&gt;0,IF(D13&gt;E12,D13-E12,0),0)</f>
        <v>0</v>
      </c>
      <c r="F13" s="165">
        <f t="shared" ref="F13:BJ13" si="2">IF(F12&gt;0,IF(E13&gt;F12,E13-F12,0),0)</f>
        <v>0</v>
      </c>
      <c r="G13" s="165">
        <f t="shared" si="2"/>
        <v>0</v>
      </c>
      <c r="H13" s="165">
        <f t="shared" si="2"/>
        <v>0</v>
      </c>
      <c r="I13" s="165">
        <f t="shared" si="2"/>
        <v>0</v>
      </c>
      <c r="J13" s="165">
        <f t="shared" si="2"/>
        <v>0</v>
      </c>
      <c r="K13" s="165">
        <f t="shared" si="2"/>
        <v>0</v>
      </c>
      <c r="L13" s="165">
        <f t="shared" si="2"/>
        <v>0</v>
      </c>
      <c r="M13" s="165">
        <f t="shared" si="2"/>
        <v>0</v>
      </c>
      <c r="N13" s="165">
        <f t="shared" si="2"/>
        <v>0</v>
      </c>
      <c r="O13" s="165">
        <f t="shared" si="2"/>
        <v>0</v>
      </c>
      <c r="P13" s="165">
        <f t="shared" si="2"/>
        <v>0</v>
      </c>
      <c r="Q13" s="165">
        <f t="shared" si="2"/>
        <v>0</v>
      </c>
      <c r="R13" s="165">
        <f t="shared" si="2"/>
        <v>0</v>
      </c>
      <c r="S13" s="165">
        <f t="shared" si="2"/>
        <v>0</v>
      </c>
      <c r="T13" s="165">
        <f t="shared" si="2"/>
        <v>0</v>
      </c>
      <c r="U13" s="165">
        <f t="shared" si="2"/>
        <v>0</v>
      </c>
      <c r="V13" s="165">
        <f t="shared" si="2"/>
        <v>0</v>
      </c>
      <c r="W13" s="165">
        <f t="shared" si="2"/>
        <v>0</v>
      </c>
      <c r="X13" s="165">
        <f t="shared" si="2"/>
        <v>0</v>
      </c>
      <c r="Y13" s="165">
        <f t="shared" si="2"/>
        <v>0</v>
      </c>
      <c r="Z13" s="165">
        <f t="shared" si="2"/>
        <v>0</v>
      </c>
      <c r="AA13" s="165">
        <f t="shared" si="2"/>
        <v>0</v>
      </c>
      <c r="AB13" s="165">
        <f t="shared" si="2"/>
        <v>0</v>
      </c>
      <c r="AC13" s="165">
        <f t="shared" si="2"/>
        <v>0</v>
      </c>
      <c r="AD13" s="165">
        <f t="shared" si="2"/>
        <v>0</v>
      </c>
      <c r="AE13" s="165">
        <f t="shared" si="2"/>
        <v>0</v>
      </c>
      <c r="AF13" s="165">
        <f t="shared" si="2"/>
        <v>0</v>
      </c>
      <c r="AG13" s="165">
        <f t="shared" si="2"/>
        <v>0</v>
      </c>
      <c r="AH13" s="165">
        <f t="shared" si="2"/>
        <v>0</v>
      </c>
      <c r="AI13" s="165">
        <f t="shared" si="2"/>
        <v>0</v>
      </c>
      <c r="AJ13" s="165">
        <f t="shared" si="2"/>
        <v>0</v>
      </c>
      <c r="AK13" s="165">
        <f t="shared" si="2"/>
        <v>0</v>
      </c>
      <c r="AL13" s="165">
        <f t="shared" si="2"/>
        <v>0</v>
      </c>
      <c r="AM13" s="165">
        <f t="shared" si="2"/>
        <v>0</v>
      </c>
      <c r="AN13" s="165">
        <f t="shared" si="2"/>
        <v>0</v>
      </c>
      <c r="AO13" s="165">
        <f t="shared" si="2"/>
        <v>0</v>
      </c>
      <c r="AP13" s="165">
        <f t="shared" si="2"/>
        <v>0</v>
      </c>
      <c r="AQ13" s="165">
        <f t="shared" si="2"/>
        <v>0</v>
      </c>
      <c r="AR13" s="165">
        <f t="shared" si="2"/>
        <v>0</v>
      </c>
      <c r="AS13" s="165">
        <f t="shared" si="2"/>
        <v>0</v>
      </c>
      <c r="AT13" s="165">
        <f t="shared" si="2"/>
        <v>0</v>
      </c>
      <c r="AU13" s="165">
        <f t="shared" si="2"/>
        <v>0</v>
      </c>
      <c r="AV13" s="165">
        <f t="shared" si="2"/>
        <v>0</v>
      </c>
      <c r="AW13" s="165">
        <f t="shared" si="2"/>
        <v>0</v>
      </c>
      <c r="AX13" s="165">
        <f t="shared" si="2"/>
        <v>0</v>
      </c>
      <c r="AY13" s="165">
        <f t="shared" si="2"/>
        <v>0</v>
      </c>
      <c r="AZ13" s="165">
        <f t="shared" si="2"/>
        <v>0</v>
      </c>
      <c r="BA13" s="165">
        <f t="shared" si="2"/>
        <v>0</v>
      </c>
      <c r="BB13" s="165">
        <f t="shared" si="2"/>
        <v>0</v>
      </c>
      <c r="BC13" s="165">
        <f t="shared" si="2"/>
        <v>0</v>
      </c>
      <c r="BD13" s="165">
        <f t="shared" si="2"/>
        <v>0</v>
      </c>
      <c r="BE13" s="165">
        <f t="shared" si="2"/>
        <v>0</v>
      </c>
      <c r="BF13" s="165">
        <f t="shared" si="2"/>
        <v>0</v>
      </c>
      <c r="BG13" s="165">
        <f t="shared" si="2"/>
        <v>0</v>
      </c>
      <c r="BH13" s="165">
        <f t="shared" si="2"/>
        <v>0</v>
      </c>
      <c r="BI13" s="165">
        <f t="shared" si="2"/>
        <v>0</v>
      </c>
      <c r="BJ13" s="165">
        <f t="shared" si="2"/>
        <v>0</v>
      </c>
      <c r="BK13" s="165">
        <f>IF(BK12&gt;0,IF(BJ13&gt;BK12,BJ13-BK12,0),0)</f>
        <v>0</v>
      </c>
    </row>
    <row r="14" spans="1:63">
      <c r="A14" s="95"/>
      <c r="B14" s="106"/>
      <c r="C14" s="106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</row>
    <row r="15" spans="1:63">
      <c r="A15" s="111" t="str">
        <f>'6) Capital '!A25</f>
        <v>Mortgage</v>
      </c>
      <c r="B15" s="112"/>
      <c r="C15" s="112"/>
    </row>
    <row r="16" spans="1:63" outlineLevel="1">
      <c r="A16" s="95"/>
      <c r="B16" s="109" t="s">
        <v>9</v>
      </c>
      <c r="C16" s="282">
        <f>'6) Capital '!E25</f>
        <v>0</v>
      </c>
      <c r="E16" s="13"/>
    </row>
    <row r="17" spans="1:63" outlineLevel="1">
      <c r="A17" s="95"/>
      <c r="B17" s="109" t="s">
        <v>10</v>
      </c>
      <c r="C17" s="113">
        <f>'6) Capital '!C25</f>
        <v>0</v>
      </c>
      <c r="E17" s="14"/>
    </row>
    <row r="18" spans="1:63" outlineLevel="1">
      <c r="A18" s="95"/>
      <c r="B18" s="109" t="s">
        <v>140</v>
      </c>
      <c r="C18" s="113">
        <f>((1+C17)^(1/12))-1</f>
        <v>0</v>
      </c>
      <c r="E18" s="14"/>
    </row>
    <row r="19" spans="1:63" outlineLevel="1">
      <c r="A19" s="95"/>
      <c r="B19" s="109" t="s">
        <v>11</v>
      </c>
      <c r="C19" s="114">
        <f>'6) Capital '!D25*12</f>
        <v>12</v>
      </c>
      <c r="E19" s="15"/>
    </row>
    <row r="20" spans="1:63" outlineLevel="1">
      <c r="A20" s="95"/>
      <c r="B20" s="109" t="s">
        <v>141</v>
      </c>
      <c r="C20" s="115">
        <f>-PMT(C18,C19,C16,0,0)</f>
        <v>0</v>
      </c>
      <c r="E20" s="15"/>
    </row>
    <row r="21" spans="1:63" outlineLevel="1">
      <c r="A21" s="95"/>
      <c r="B21" s="106"/>
      <c r="C21" s="106"/>
    </row>
    <row r="22" spans="1:63" outlineLevel="1">
      <c r="A22" s="95"/>
      <c r="B22" s="106" t="s">
        <v>0</v>
      </c>
      <c r="C22" s="106"/>
      <c r="D22" s="275">
        <f>C16*C18</f>
        <v>0</v>
      </c>
      <c r="E22" s="275">
        <f>IF(D24&gt;=0,D24*$C$7,0)</f>
        <v>0</v>
      </c>
      <c r="F22" s="275">
        <f t="shared" ref="F22" si="3">IF(E24&gt;=0,E24*$C$7,0)</f>
        <v>0</v>
      </c>
      <c r="G22" s="275">
        <f t="shared" ref="G22" si="4">IF(F24&gt;=0,F24*$C$7,0)</f>
        <v>0</v>
      </c>
      <c r="H22" s="275">
        <f t="shared" ref="H22" si="5">IF(G24&gt;=0,G24*$C$7,0)</f>
        <v>0</v>
      </c>
      <c r="I22" s="275">
        <f t="shared" ref="I22" si="6">IF(H24&gt;=0,H24*$C$7,0)</f>
        <v>0</v>
      </c>
      <c r="J22" s="275">
        <f t="shared" ref="J22" si="7">IF(I24&gt;=0,I24*$C$7,0)</f>
        <v>0</v>
      </c>
      <c r="K22" s="275">
        <f t="shared" ref="K22" si="8">IF(J24&gt;=0,J24*$C$7,0)</f>
        <v>0</v>
      </c>
      <c r="L22" s="275">
        <f t="shared" ref="L22" si="9">IF(K24&gt;=0,K24*$C$7,0)</f>
        <v>0</v>
      </c>
      <c r="M22" s="275">
        <f t="shared" ref="M22" si="10">IF(L24&gt;=0,L24*$C$7,0)</f>
        <v>0</v>
      </c>
      <c r="N22" s="275">
        <f t="shared" ref="N22" si="11">IF(M24&gt;=0,M24*$C$7,0)</f>
        <v>0</v>
      </c>
      <c r="O22" s="275">
        <f t="shared" ref="O22" si="12">IF(N24&gt;=0,N24*$C$7,0)</f>
        <v>0</v>
      </c>
      <c r="P22" s="275">
        <f t="shared" ref="P22" si="13">IF(O24&gt;=0,O24*$C$7,0)</f>
        <v>0</v>
      </c>
      <c r="Q22" s="275">
        <f t="shared" ref="Q22" si="14">IF(P24&gt;=0,P24*$C$7,0)</f>
        <v>0</v>
      </c>
      <c r="R22" s="275">
        <f t="shared" ref="R22" si="15">IF(Q24&gt;=0,Q24*$C$7,0)</f>
        <v>0</v>
      </c>
      <c r="S22" s="275">
        <f t="shared" ref="S22" si="16">IF(R24&gt;=0,R24*$C$7,0)</f>
        <v>0</v>
      </c>
      <c r="T22" s="275">
        <f t="shared" ref="T22" si="17">IF(S24&gt;=0,S24*$C$7,0)</f>
        <v>0</v>
      </c>
      <c r="U22" s="275">
        <f t="shared" ref="U22" si="18">IF(T24&gt;=0,T24*$C$7,0)</f>
        <v>0</v>
      </c>
      <c r="V22" s="275">
        <f t="shared" ref="V22" si="19">IF(U24&gt;=0,U24*$C$7,0)</f>
        <v>0</v>
      </c>
      <c r="W22" s="275">
        <f t="shared" ref="W22" si="20">IF(V24&gt;=0,V24*$C$7,0)</f>
        <v>0</v>
      </c>
      <c r="X22" s="275">
        <f t="shared" ref="X22" si="21">IF(W24&gt;=0,W24*$C$7,0)</f>
        <v>0</v>
      </c>
      <c r="Y22" s="275">
        <f t="shared" ref="Y22" si="22">IF(X24&gt;=0,X24*$C$7,0)</f>
        <v>0</v>
      </c>
      <c r="Z22" s="275">
        <f t="shared" ref="Z22" si="23">IF(Y24&gt;=0,Y24*$C$7,0)</f>
        <v>0</v>
      </c>
      <c r="AA22" s="275">
        <f t="shared" ref="AA22" si="24">IF(Z24&gt;=0,Z24*$C$7,0)</f>
        <v>0</v>
      </c>
      <c r="AB22" s="275">
        <f t="shared" ref="AB22" si="25">IF(AA24&gt;=0,AA24*$C$7,0)</f>
        <v>0</v>
      </c>
      <c r="AC22" s="275">
        <f t="shared" ref="AC22" si="26">IF(AB24&gt;=0,AB24*$C$7,0)</f>
        <v>0</v>
      </c>
      <c r="AD22" s="275">
        <f t="shared" ref="AD22" si="27">IF(AC24&gt;=0,AC24*$C$7,0)</f>
        <v>0</v>
      </c>
      <c r="AE22" s="275">
        <f t="shared" ref="AE22" si="28">IF(AD24&gt;=0,AD24*$C$7,0)</f>
        <v>0</v>
      </c>
      <c r="AF22" s="275">
        <f t="shared" ref="AF22" si="29">IF(AE24&gt;=0,AE24*$C$7,0)</f>
        <v>0</v>
      </c>
      <c r="AG22" s="275">
        <f t="shared" ref="AG22" si="30">IF(AF24&gt;=0,AF24*$C$7,0)</f>
        <v>0</v>
      </c>
      <c r="AH22" s="275">
        <f t="shared" ref="AH22" si="31">IF(AG24&gt;=0,AG24*$C$7,0)</f>
        <v>0</v>
      </c>
      <c r="AI22" s="275">
        <f t="shared" ref="AI22" si="32">IF(AH24&gt;=0,AH24*$C$7,0)</f>
        <v>0</v>
      </c>
      <c r="AJ22" s="275">
        <f t="shared" ref="AJ22" si="33">IF(AI24&gt;=0,AI24*$C$7,0)</f>
        <v>0</v>
      </c>
      <c r="AK22" s="275">
        <f t="shared" ref="AK22" si="34">IF(AJ24&gt;=0,AJ24*$C$7,0)</f>
        <v>0</v>
      </c>
      <c r="AL22" s="275">
        <f t="shared" ref="AL22" si="35">IF(AK24&gt;=0,AK24*$C$7,0)</f>
        <v>0</v>
      </c>
      <c r="AM22" s="275">
        <f t="shared" ref="AM22" si="36">IF(AL24&gt;=0,AL24*$C$7,0)</f>
        <v>0</v>
      </c>
      <c r="AN22" s="275">
        <f t="shared" ref="AN22" si="37">IF(AM24&gt;=0,AM24*$C$7,0)</f>
        <v>0</v>
      </c>
      <c r="AO22" s="275">
        <f t="shared" ref="AO22" si="38">IF(AN24&gt;=0,AN24*$C$7,0)</f>
        <v>0</v>
      </c>
      <c r="AP22" s="275">
        <f t="shared" ref="AP22" si="39">IF(AO24&gt;=0,AO24*$C$7,0)</f>
        <v>0</v>
      </c>
      <c r="AQ22" s="275">
        <f t="shared" ref="AQ22" si="40">IF(AP24&gt;=0,AP24*$C$7,0)</f>
        <v>0</v>
      </c>
      <c r="AR22" s="275">
        <f t="shared" ref="AR22" si="41">IF(AQ24&gt;=0,AQ24*$C$7,0)</f>
        <v>0</v>
      </c>
      <c r="AS22" s="275">
        <f t="shared" ref="AS22" si="42">IF(AR24&gt;=0,AR24*$C$7,0)</f>
        <v>0</v>
      </c>
      <c r="AT22" s="275">
        <f t="shared" ref="AT22" si="43">IF(AS24&gt;=0,AS24*$C$7,0)</f>
        <v>0</v>
      </c>
      <c r="AU22" s="275">
        <f t="shared" ref="AU22" si="44">IF(AT24&gt;=0,AT24*$C$7,0)</f>
        <v>0</v>
      </c>
      <c r="AV22" s="275">
        <f t="shared" ref="AV22" si="45">IF(AU24&gt;=0,AU24*$C$7,0)</f>
        <v>0</v>
      </c>
      <c r="AW22" s="275">
        <f t="shared" ref="AW22" si="46">IF(AV24&gt;=0,AV24*$C$7,0)</f>
        <v>0</v>
      </c>
      <c r="AX22" s="275">
        <f t="shared" ref="AX22" si="47">IF(AW24&gt;=0,AW24*$C$7,0)</f>
        <v>0</v>
      </c>
      <c r="AY22" s="275">
        <f t="shared" ref="AY22" si="48">IF(AX24&gt;=0,AX24*$C$7,0)</f>
        <v>0</v>
      </c>
      <c r="AZ22" s="275">
        <f t="shared" ref="AZ22" si="49">IF(AY24&gt;=0,AY24*$C$7,0)</f>
        <v>0</v>
      </c>
      <c r="BA22" s="275">
        <f t="shared" ref="BA22" si="50">IF(AZ24&gt;=0,AZ24*$C$7,0)</f>
        <v>0</v>
      </c>
      <c r="BB22" s="275">
        <f t="shared" ref="BB22" si="51">IF(BA24&gt;=0,BA24*$C$7,0)</f>
        <v>0</v>
      </c>
      <c r="BC22" s="275">
        <f t="shared" ref="BC22" si="52">IF(BB24&gt;=0,BB24*$C$7,0)</f>
        <v>0</v>
      </c>
      <c r="BD22" s="275">
        <f t="shared" ref="BD22" si="53">IF(BC24&gt;=0,BC24*$C$7,0)</f>
        <v>0</v>
      </c>
      <c r="BE22" s="275">
        <f t="shared" ref="BE22" si="54">IF(BD24&gt;=0,BD24*$C$7,0)</f>
        <v>0</v>
      </c>
      <c r="BF22" s="275">
        <f t="shared" ref="BF22" si="55">IF(BE24&gt;=0,BE24*$C$7,0)</f>
        <v>0</v>
      </c>
      <c r="BG22" s="275">
        <f t="shared" ref="BG22" si="56">IF(BF24&gt;=0,BF24*$C$7,0)</f>
        <v>0</v>
      </c>
      <c r="BH22" s="275">
        <f t="shared" ref="BH22" si="57">IF(BG24&gt;=0,BG24*$C$7,0)</f>
        <v>0</v>
      </c>
      <c r="BI22" s="275">
        <f t="shared" ref="BI22" si="58">IF(BH24&gt;=0,BH24*$C$7,0)</f>
        <v>0</v>
      </c>
      <c r="BJ22" s="275">
        <f t="shared" ref="BJ22" si="59">IF(BI24&gt;=0,BI24*$C$7,0)</f>
        <v>0</v>
      </c>
      <c r="BK22" s="275">
        <f>IF(BJ24&gt;=0,BJ24*$C$7,0)</f>
        <v>0</v>
      </c>
    </row>
    <row r="23" spans="1:63" outlineLevel="1">
      <c r="A23" s="95"/>
      <c r="B23" s="106" t="s">
        <v>130</v>
      </c>
      <c r="C23" s="106"/>
      <c r="D23" s="275">
        <f>C20-D22</f>
        <v>0</v>
      </c>
      <c r="E23" s="275">
        <f>IF(D24&gt;=0.0000001,$C$9-E22,0)</f>
        <v>0</v>
      </c>
      <c r="F23" s="275">
        <f t="shared" ref="F23" si="60">IF(E24&gt;=0.0000001,$C$9-F22,0)</f>
        <v>0</v>
      </c>
      <c r="G23" s="275">
        <f t="shared" ref="G23" si="61">IF(F24&gt;=0.0000001,$C$9-G22,0)</f>
        <v>0</v>
      </c>
      <c r="H23" s="275">
        <f t="shared" ref="H23" si="62">IF(G24&gt;=0.0000001,$C$9-H22,0)</f>
        <v>0</v>
      </c>
      <c r="I23" s="275">
        <f t="shared" ref="I23" si="63">IF(H24&gt;=0.0000001,$C$9-I22,0)</f>
        <v>0</v>
      </c>
      <c r="J23" s="275">
        <f t="shared" ref="J23" si="64">IF(I24&gt;=0.0000001,$C$9-J22,0)</f>
        <v>0</v>
      </c>
      <c r="K23" s="275">
        <f t="shared" ref="K23" si="65">IF(J24&gt;=0.0000001,$C$9-K22,0)</f>
        <v>0</v>
      </c>
      <c r="L23" s="275">
        <f t="shared" ref="L23" si="66">IF(K24&gt;=0.0000001,$C$9-L22,0)</f>
        <v>0</v>
      </c>
      <c r="M23" s="275">
        <f t="shared" ref="M23" si="67">IF(L24&gt;=0.0000001,$C$9-M22,0)</f>
        <v>0</v>
      </c>
      <c r="N23" s="275">
        <f t="shared" ref="N23" si="68">IF(M24&gt;=0.0000001,$C$9-N22,0)</f>
        <v>0</v>
      </c>
      <c r="O23" s="275">
        <f t="shared" ref="O23" si="69">IF(N24&gt;=0.0000001,$C$9-O22,0)</f>
        <v>0</v>
      </c>
      <c r="P23" s="275">
        <f t="shared" ref="P23" si="70">IF(O24&gt;=0.0000001,$C$9-P22,0)</f>
        <v>0</v>
      </c>
      <c r="Q23" s="275">
        <f t="shared" ref="Q23" si="71">IF(P24&gt;=0.0000001,$C$9-Q22,0)</f>
        <v>0</v>
      </c>
      <c r="R23" s="275">
        <f t="shared" ref="R23" si="72">IF(Q24&gt;=0.0000001,$C$9-R22,0)</f>
        <v>0</v>
      </c>
      <c r="S23" s="275">
        <f t="shared" ref="S23" si="73">IF(R24&gt;=0.0000001,$C$9-S22,0)</f>
        <v>0</v>
      </c>
      <c r="T23" s="275">
        <f t="shared" ref="T23" si="74">IF(S24&gt;=0.0000001,$C$9-T22,0)</f>
        <v>0</v>
      </c>
      <c r="U23" s="275">
        <f t="shared" ref="U23" si="75">IF(T24&gt;=0.0000001,$C$9-U22,0)</f>
        <v>0</v>
      </c>
      <c r="V23" s="275">
        <f t="shared" ref="V23" si="76">IF(U24&gt;=0.0000001,$C$9-V22,0)</f>
        <v>0</v>
      </c>
      <c r="W23" s="275">
        <f t="shared" ref="W23" si="77">IF(V24&gt;=0.0000001,$C$9-W22,0)</f>
        <v>0</v>
      </c>
      <c r="X23" s="275">
        <f t="shared" ref="X23" si="78">IF(W24&gt;=0.0000001,$C$9-X22,0)</f>
        <v>0</v>
      </c>
      <c r="Y23" s="275">
        <f t="shared" ref="Y23" si="79">IF(X24&gt;=0.0000001,$C$9-Y22,0)</f>
        <v>0</v>
      </c>
      <c r="Z23" s="275">
        <f t="shared" ref="Z23" si="80">IF(Y24&gt;=0.0000001,$C$9-Z22,0)</f>
        <v>0</v>
      </c>
      <c r="AA23" s="275">
        <f t="shared" ref="AA23" si="81">IF(Z24&gt;=0.0000001,$C$9-AA22,0)</f>
        <v>0</v>
      </c>
      <c r="AB23" s="275">
        <f t="shared" ref="AB23" si="82">IF(AA24&gt;=0.0000001,$C$9-AB22,0)</f>
        <v>0</v>
      </c>
      <c r="AC23" s="275">
        <f t="shared" ref="AC23" si="83">IF(AB24&gt;=0.0000001,$C$9-AC22,0)</f>
        <v>0</v>
      </c>
      <c r="AD23" s="275">
        <f t="shared" ref="AD23" si="84">IF(AC24&gt;=0.0000001,$C$9-AD22,0)</f>
        <v>0</v>
      </c>
      <c r="AE23" s="275">
        <f t="shared" ref="AE23" si="85">IF(AD24&gt;=0.0000001,$C$9-AE22,0)</f>
        <v>0</v>
      </c>
      <c r="AF23" s="275">
        <f t="shared" ref="AF23" si="86">IF(AE24&gt;=0.0000001,$C$9-AF22,0)</f>
        <v>0</v>
      </c>
      <c r="AG23" s="275">
        <f t="shared" ref="AG23" si="87">IF(AF24&gt;=0.0000001,$C$9-AG22,0)</f>
        <v>0</v>
      </c>
      <c r="AH23" s="275">
        <f t="shared" ref="AH23" si="88">IF(AG24&gt;=0.0000001,$C$9-AH22,0)</f>
        <v>0</v>
      </c>
      <c r="AI23" s="275">
        <f t="shared" ref="AI23" si="89">IF(AH24&gt;=0.0000001,$C$9-AI22,0)</f>
        <v>0</v>
      </c>
      <c r="AJ23" s="275">
        <f t="shared" ref="AJ23" si="90">IF(AI24&gt;=0.0000001,$C$9-AJ22,0)</f>
        <v>0</v>
      </c>
      <c r="AK23" s="275">
        <f t="shared" ref="AK23" si="91">IF(AJ24&gt;=0.0000001,$C$9-AK22,0)</f>
        <v>0</v>
      </c>
      <c r="AL23" s="275">
        <f t="shared" ref="AL23" si="92">IF(AK24&gt;=0.0000001,$C$9-AL22,0)</f>
        <v>0</v>
      </c>
      <c r="AM23" s="275">
        <f t="shared" ref="AM23" si="93">IF(AL24&gt;=0.0000001,$C$9-AM22,0)</f>
        <v>0</v>
      </c>
      <c r="AN23" s="275">
        <f t="shared" ref="AN23" si="94">IF(AM24&gt;=0.0000001,$C$9-AN22,0)</f>
        <v>0</v>
      </c>
      <c r="AO23" s="275">
        <f t="shared" ref="AO23" si="95">IF(AN24&gt;=0.0000001,$C$9-AO22,0)</f>
        <v>0</v>
      </c>
      <c r="AP23" s="275">
        <f t="shared" ref="AP23" si="96">IF(AO24&gt;=0.0000001,$C$9-AP22,0)</f>
        <v>0</v>
      </c>
      <c r="AQ23" s="275">
        <f t="shared" ref="AQ23" si="97">IF(AP24&gt;=0.0000001,$C$9-AQ22,0)</f>
        <v>0</v>
      </c>
      <c r="AR23" s="275">
        <f t="shared" ref="AR23" si="98">IF(AQ24&gt;=0.0000001,$C$9-AR22,0)</f>
        <v>0</v>
      </c>
      <c r="AS23" s="275">
        <f t="shared" ref="AS23" si="99">IF(AR24&gt;=0.0000001,$C$9-AS22,0)</f>
        <v>0</v>
      </c>
      <c r="AT23" s="275">
        <f t="shared" ref="AT23" si="100">IF(AS24&gt;=0.0000001,$C$9-AT22,0)</f>
        <v>0</v>
      </c>
      <c r="AU23" s="275">
        <f t="shared" ref="AU23" si="101">IF(AT24&gt;=0.0000001,$C$9-AU22,0)</f>
        <v>0</v>
      </c>
      <c r="AV23" s="275">
        <f t="shared" ref="AV23" si="102">IF(AU24&gt;=0.0000001,$C$9-AV22,0)</f>
        <v>0</v>
      </c>
      <c r="AW23" s="275">
        <f t="shared" ref="AW23" si="103">IF(AV24&gt;=0.0000001,$C$9-AW22,0)</f>
        <v>0</v>
      </c>
      <c r="AX23" s="275">
        <f t="shared" ref="AX23" si="104">IF(AW24&gt;=0.0000001,$C$9-AX22,0)</f>
        <v>0</v>
      </c>
      <c r="AY23" s="275">
        <f t="shared" ref="AY23" si="105">IF(AX24&gt;=0.0000001,$C$9-AY22,0)</f>
        <v>0</v>
      </c>
      <c r="AZ23" s="275">
        <f t="shared" ref="AZ23" si="106">IF(AY24&gt;=0.0000001,$C$9-AZ22,0)</f>
        <v>0</v>
      </c>
      <c r="BA23" s="275">
        <f t="shared" ref="BA23" si="107">IF(AZ24&gt;=0.0000001,$C$9-BA22,0)</f>
        <v>0</v>
      </c>
      <c r="BB23" s="275">
        <f t="shared" ref="BB23" si="108">IF(BA24&gt;=0.0000001,$C$9-BB22,0)</f>
        <v>0</v>
      </c>
      <c r="BC23" s="275">
        <f t="shared" ref="BC23" si="109">IF(BB24&gt;=0.0000001,$C$9-BC22,0)</f>
        <v>0</v>
      </c>
      <c r="BD23" s="275">
        <f t="shared" ref="BD23" si="110">IF(BC24&gt;=0.0000001,$C$9-BD22,0)</f>
        <v>0</v>
      </c>
      <c r="BE23" s="275">
        <f t="shared" ref="BE23" si="111">IF(BD24&gt;=0.0000001,$C$9-BE22,0)</f>
        <v>0</v>
      </c>
      <c r="BF23" s="275">
        <f t="shared" ref="BF23" si="112">IF(BE24&gt;=0.0000001,$C$9-BF22,0)</f>
        <v>0</v>
      </c>
      <c r="BG23" s="275">
        <f t="shared" ref="BG23" si="113">IF(BF24&gt;=0.0000001,$C$9-BG22,0)</f>
        <v>0</v>
      </c>
      <c r="BH23" s="275">
        <f t="shared" ref="BH23" si="114">IF(BG24&gt;=0.0000001,$C$9-BH22,0)</f>
        <v>0</v>
      </c>
      <c r="BI23" s="275">
        <f t="shared" ref="BI23" si="115">IF(BH24&gt;=0.0000001,$C$9-BI22,0)</f>
        <v>0</v>
      </c>
      <c r="BJ23" s="275">
        <f t="shared" ref="BJ23" si="116">IF(BI24&gt;=0.0000001,$C$9-BJ22,0)</f>
        <v>0</v>
      </c>
      <c r="BK23" s="275">
        <f>IF(BJ24&gt;=0.0000001,$C$9-BK22,0)</f>
        <v>0</v>
      </c>
    </row>
    <row r="24" spans="1:63" outlineLevel="1">
      <c r="A24" s="96"/>
      <c r="B24" s="116" t="s">
        <v>131</v>
      </c>
      <c r="C24" s="116"/>
      <c r="D24" s="165">
        <f>C16-D23</f>
        <v>0</v>
      </c>
      <c r="E24" s="165">
        <f>IF(E23&gt;0,IF(D24&gt;E23,D24-E23,0),0)</f>
        <v>0</v>
      </c>
      <c r="F24" s="165">
        <f t="shared" ref="F24" si="117">IF(F23&gt;0,IF(E24&gt;F23,E24-F23,0),0)</f>
        <v>0</v>
      </c>
      <c r="G24" s="165">
        <f t="shared" ref="G24" si="118">IF(G23&gt;0,IF(F24&gt;G23,F24-G23,0),0)</f>
        <v>0</v>
      </c>
      <c r="H24" s="165">
        <f t="shared" ref="H24" si="119">IF(H23&gt;0,IF(G24&gt;H23,G24-H23,0),0)</f>
        <v>0</v>
      </c>
      <c r="I24" s="165">
        <f t="shared" ref="I24" si="120">IF(I23&gt;0,IF(H24&gt;I23,H24-I23,0),0)</f>
        <v>0</v>
      </c>
      <c r="J24" s="165">
        <f t="shared" ref="J24" si="121">IF(J23&gt;0,IF(I24&gt;J23,I24-J23,0),0)</f>
        <v>0</v>
      </c>
      <c r="K24" s="165">
        <f t="shared" ref="K24" si="122">IF(K23&gt;0,IF(J24&gt;K23,J24-K23,0),0)</f>
        <v>0</v>
      </c>
      <c r="L24" s="165">
        <f t="shared" ref="L24" si="123">IF(L23&gt;0,IF(K24&gt;L23,K24-L23,0),0)</f>
        <v>0</v>
      </c>
      <c r="M24" s="165">
        <f t="shared" ref="M24" si="124">IF(M23&gt;0,IF(L24&gt;M23,L24-M23,0),0)</f>
        <v>0</v>
      </c>
      <c r="N24" s="165">
        <f t="shared" ref="N24" si="125">IF(N23&gt;0,IF(M24&gt;N23,M24-N23,0),0)</f>
        <v>0</v>
      </c>
      <c r="O24" s="165">
        <f t="shared" ref="O24" si="126">IF(O23&gt;0,IF(N24&gt;O23,N24-O23,0),0)</f>
        <v>0</v>
      </c>
      <c r="P24" s="165">
        <f t="shared" ref="P24" si="127">IF(P23&gt;0,IF(O24&gt;P23,O24-P23,0),0)</f>
        <v>0</v>
      </c>
      <c r="Q24" s="165">
        <f t="shared" ref="Q24" si="128">IF(Q23&gt;0,IF(P24&gt;Q23,P24-Q23,0),0)</f>
        <v>0</v>
      </c>
      <c r="R24" s="165">
        <f t="shared" ref="R24" si="129">IF(R23&gt;0,IF(Q24&gt;R23,Q24-R23,0),0)</f>
        <v>0</v>
      </c>
      <c r="S24" s="165">
        <f t="shared" ref="S24" si="130">IF(S23&gt;0,IF(R24&gt;S23,R24-S23,0),0)</f>
        <v>0</v>
      </c>
      <c r="T24" s="165">
        <f t="shared" ref="T24" si="131">IF(T23&gt;0,IF(S24&gt;T23,S24-T23,0),0)</f>
        <v>0</v>
      </c>
      <c r="U24" s="165">
        <f t="shared" ref="U24" si="132">IF(U23&gt;0,IF(T24&gt;U23,T24-U23,0),0)</f>
        <v>0</v>
      </c>
      <c r="V24" s="165">
        <f t="shared" ref="V24" si="133">IF(V23&gt;0,IF(U24&gt;V23,U24-V23,0),0)</f>
        <v>0</v>
      </c>
      <c r="W24" s="165">
        <f t="shared" ref="W24" si="134">IF(W23&gt;0,IF(V24&gt;W23,V24-W23,0),0)</f>
        <v>0</v>
      </c>
      <c r="X24" s="165">
        <f t="shared" ref="X24" si="135">IF(X23&gt;0,IF(W24&gt;X23,W24-X23,0),0)</f>
        <v>0</v>
      </c>
      <c r="Y24" s="165">
        <f t="shared" ref="Y24" si="136">IF(Y23&gt;0,IF(X24&gt;Y23,X24-Y23,0),0)</f>
        <v>0</v>
      </c>
      <c r="Z24" s="165">
        <f t="shared" ref="Z24" si="137">IF(Z23&gt;0,IF(Y24&gt;Z23,Y24-Z23,0),0)</f>
        <v>0</v>
      </c>
      <c r="AA24" s="165">
        <f t="shared" ref="AA24" si="138">IF(AA23&gt;0,IF(Z24&gt;AA23,Z24-AA23,0),0)</f>
        <v>0</v>
      </c>
      <c r="AB24" s="165">
        <f t="shared" ref="AB24" si="139">IF(AB23&gt;0,IF(AA24&gt;AB23,AA24-AB23,0),0)</f>
        <v>0</v>
      </c>
      <c r="AC24" s="165">
        <f t="shared" ref="AC24" si="140">IF(AC23&gt;0,IF(AB24&gt;AC23,AB24-AC23,0),0)</f>
        <v>0</v>
      </c>
      <c r="AD24" s="165">
        <f t="shared" ref="AD24" si="141">IF(AD23&gt;0,IF(AC24&gt;AD23,AC24-AD23,0),0)</f>
        <v>0</v>
      </c>
      <c r="AE24" s="165">
        <f t="shared" ref="AE24" si="142">IF(AE23&gt;0,IF(AD24&gt;AE23,AD24-AE23,0),0)</f>
        <v>0</v>
      </c>
      <c r="AF24" s="165">
        <f t="shared" ref="AF24" si="143">IF(AF23&gt;0,IF(AE24&gt;AF23,AE24-AF23,0),0)</f>
        <v>0</v>
      </c>
      <c r="AG24" s="165">
        <f t="shared" ref="AG24" si="144">IF(AG23&gt;0,IF(AF24&gt;AG23,AF24-AG23,0),0)</f>
        <v>0</v>
      </c>
      <c r="AH24" s="165">
        <f t="shared" ref="AH24" si="145">IF(AH23&gt;0,IF(AG24&gt;AH23,AG24-AH23,0),0)</f>
        <v>0</v>
      </c>
      <c r="AI24" s="165">
        <f t="shared" ref="AI24" si="146">IF(AI23&gt;0,IF(AH24&gt;AI23,AH24-AI23,0),0)</f>
        <v>0</v>
      </c>
      <c r="AJ24" s="165">
        <f t="shared" ref="AJ24" si="147">IF(AJ23&gt;0,IF(AI24&gt;AJ23,AI24-AJ23,0),0)</f>
        <v>0</v>
      </c>
      <c r="AK24" s="165">
        <f t="shared" ref="AK24" si="148">IF(AK23&gt;0,IF(AJ24&gt;AK23,AJ24-AK23,0),0)</f>
        <v>0</v>
      </c>
      <c r="AL24" s="165">
        <f t="shared" ref="AL24" si="149">IF(AL23&gt;0,IF(AK24&gt;AL23,AK24-AL23,0),0)</f>
        <v>0</v>
      </c>
      <c r="AM24" s="165">
        <f t="shared" ref="AM24" si="150">IF(AM23&gt;0,IF(AL24&gt;AM23,AL24-AM23,0),0)</f>
        <v>0</v>
      </c>
      <c r="AN24" s="165">
        <f t="shared" ref="AN24" si="151">IF(AN23&gt;0,IF(AM24&gt;AN23,AM24-AN23,0),0)</f>
        <v>0</v>
      </c>
      <c r="AO24" s="165">
        <f t="shared" ref="AO24" si="152">IF(AO23&gt;0,IF(AN24&gt;AO23,AN24-AO23,0),0)</f>
        <v>0</v>
      </c>
      <c r="AP24" s="165">
        <f t="shared" ref="AP24" si="153">IF(AP23&gt;0,IF(AO24&gt;AP23,AO24-AP23,0),0)</f>
        <v>0</v>
      </c>
      <c r="AQ24" s="165">
        <f t="shared" ref="AQ24" si="154">IF(AQ23&gt;0,IF(AP24&gt;AQ23,AP24-AQ23,0),0)</f>
        <v>0</v>
      </c>
      <c r="AR24" s="165">
        <f t="shared" ref="AR24" si="155">IF(AR23&gt;0,IF(AQ24&gt;AR23,AQ24-AR23,0),0)</f>
        <v>0</v>
      </c>
      <c r="AS24" s="165">
        <f t="shared" ref="AS24" si="156">IF(AS23&gt;0,IF(AR24&gt;AS23,AR24-AS23,0),0)</f>
        <v>0</v>
      </c>
      <c r="AT24" s="165">
        <f t="shared" ref="AT24" si="157">IF(AT23&gt;0,IF(AS24&gt;AT23,AS24-AT23,0),0)</f>
        <v>0</v>
      </c>
      <c r="AU24" s="165">
        <f t="shared" ref="AU24" si="158">IF(AU23&gt;0,IF(AT24&gt;AU23,AT24-AU23,0),0)</f>
        <v>0</v>
      </c>
      <c r="AV24" s="165">
        <f t="shared" ref="AV24" si="159">IF(AV23&gt;0,IF(AU24&gt;AV23,AU24-AV23,0),0)</f>
        <v>0</v>
      </c>
      <c r="AW24" s="165">
        <f t="shared" ref="AW24" si="160">IF(AW23&gt;0,IF(AV24&gt;AW23,AV24-AW23,0),0)</f>
        <v>0</v>
      </c>
      <c r="AX24" s="165">
        <f t="shared" ref="AX24" si="161">IF(AX23&gt;0,IF(AW24&gt;AX23,AW24-AX23,0),0)</f>
        <v>0</v>
      </c>
      <c r="AY24" s="165">
        <f t="shared" ref="AY24" si="162">IF(AY23&gt;0,IF(AX24&gt;AY23,AX24-AY23,0),0)</f>
        <v>0</v>
      </c>
      <c r="AZ24" s="165">
        <f t="shared" ref="AZ24" si="163">IF(AZ23&gt;0,IF(AY24&gt;AZ23,AY24-AZ23,0),0)</f>
        <v>0</v>
      </c>
      <c r="BA24" s="165">
        <f t="shared" ref="BA24" si="164">IF(BA23&gt;0,IF(AZ24&gt;BA23,AZ24-BA23,0),0)</f>
        <v>0</v>
      </c>
      <c r="BB24" s="165">
        <f t="shared" ref="BB24" si="165">IF(BB23&gt;0,IF(BA24&gt;BB23,BA24-BB23,0),0)</f>
        <v>0</v>
      </c>
      <c r="BC24" s="165">
        <f t="shared" ref="BC24" si="166">IF(BC23&gt;0,IF(BB24&gt;BC23,BB24-BC23,0),0)</f>
        <v>0</v>
      </c>
      <c r="BD24" s="165">
        <f t="shared" ref="BD24" si="167">IF(BD23&gt;0,IF(BC24&gt;BD23,BC24-BD23,0),0)</f>
        <v>0</v>
      </c>
      <c r="BE24" s="165">
        <f t="shared" ref="BE24" si="168">IF(BE23&gt;0,IF(BD24&gt;BE23,BD24-BE23,0),0)</f>
        <v>0</v>
      </c>
      <c r="BF24" s="165">
        <f t="shared" ref="BF24" si="169">IF(BF23&gt;0,IF(BE24&gt;BF23,BE24-BF23,0),0)</f>
        <v>0</v>
      </c>
      <c r="BG24" s="165">
        <f t="shared" ref="BG24" si="170">IF(BG23&gt;0,IF(BF24&gt;BG23,BF24-BG23,0),0)</f>
        <v>0</v>
      </c>
      <c r="BH24" s="165">
        <f t="shared" ref="BH24" si="171">IF(BH23&gt;0,IF(BG24&gt;BH23,BG24-BH23,0),0)</f>
        <v>0</v>
      </c>
      <c r="BI24" s="165">
        <f t="shared" ref="BI24" si="172">IF(BI23&gt;0,IF(BH24&gt;BI23,BH24-BI23,0),0)</f>
        <v>0</v>
      </c>
      <c r="BJ24" s="165">
        <f t="shared" ref="BJ24" si="173">IF(BJ23&gt;0,IF(BI24&gt;BJ23,BI24-BJ23,0),0)</f>
        <v>0</v>
      </c>
      <c r="BK24" s="165">
        <f>IF(BK23&gt;0,IF(BJ24&gt;BK23,BJ24-BK23,0),0)</f>
        <v>0</v>
      </c>
    </row>
    <row r="25" spans="1:63">
      <c r="A25" s="95"/>
      <c r="B25" s="106"/>
      <c r="C25" s="10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</row>
    <row r="26" spans="1:63">
      <c r="A26" s="111" t="str">
        <f>'6) Capital '!A26</f>
        <v>Other Bank Debt</v>
      </c>
      <c r="B26" s="112"/>
      <c r="C26" s="112"/>
    </row>
    <row r="27" spans="1:63" outlineLevel="1">
      <c r="A27" s="95"/>
      <c r="B27" s="109" t="s">
        <v>9</v>
      </c>
      <c r="C27" s="282">
        <f>'6) Capital '!E26</f>
        <v>0</v>
      </c>
      <c r="E27" s="13"/>
    </row>
    <row r="28" spans="1:63" outlineLevel="1">
      <c r="A28" s="95"/>
      <c r="B28" s="109" t="s">
        <v>10</v>
      </c>
      <c r="C28" s="113">
        <f>'6) Capital '!C26</f>
        <v>0</v>
      </c>
      <c r="E28" s="14"/>
    </row>
    <row r="29" spans="1:63" outlineLevel="1">
      <c r="A29" s="95"/>
      <c r="B29" s="109" t="s">
        <v>140</v>
      </c>
      <c r="C29" s="113">
        <f>((1+C28)^(1/12))-1</f>
        <v>0</v>
      </c>
      <c r="E29" s="14"/>
    </row>
    <row r="30" spans="1:63" outlineLevel="1">
      <c r="A30" s="95"/>
      <c r="B30" s="109" t="s">
        <v>11</v>
      </c>
      <c r="C30" s="114">
        <f>'6) Capital '!D26*12</f>
        <v>12</v>
      </c>
      <c r="E30" s="15"/>
    </row>
    <row r="31" spans="1:63" outlineLevel="1">
      <c r="A31" s="95"/>
      <c r="B31" s="109" t="s">
        <v>141</v>
      </c>
      <c r="C31" s="115">
        <f>-PMT(C29,C30,C27,0,0)</f>
        <v>0</v>
      </c>
      <c r="E31" s="15"/>
    </row>
    <row r="32" spans="1:63" outlineLevel="1">
      <c r="A32" s="95"/>
      <c r="B32" s="106"/>
      <c r="C32" s="106"/>
    </row>
    <row r="33" spans="1:63" outlineLevel="1">
      <c r="A33" s="95"/>
      <c r="B33" s="106" t="s">
        <v>0</v>
      </c>
      <c r="C33" s="106"/>
      <c r="D33" s="275">
        <f>C27*C29</f>
        <v>0</v>
      </c>
      <c r="E33" s="275">
        <f>IF(D35&gt;=0,D35*$C$7,0)</f>
        <v>0</v>
      </c>
      <c r="F33" s="275">
        <f t="shared" ref="F33" si="174">IF(E35&gt;=0,E35*$C$7,0)</f>
        <v>0</v>
      </c>
      <c r="G33" s="275">
        <f t="shared" ref="G33" si="175">IF(F35&gt;=0,F35*$C$7,0)</f>
        <v>0</v>
      </c>
      <c r="H33" s="275">
        <f t="shared" ref="H33" si="176">IF(G35&gt;=0,G35*$C$7,0)</f>
        <v>0</v>
      </c>
      <c r="I33" s="275">
        <f t="shared" ref="I33" si="177">IF(H35&gt;=0,H35*$C$7,0)</f>
        <v>0</v>
      </c>
      <c r="J33" s="275">
        <f t="shared" ref="J33" si="178">IF(I35&gt;=0,I35*$C$7,0)</f>
        <v>0</v>
      </c>
      <c r="K33" s="275">
        <f t="shared" ref="K33" si="179">IF(J35&gt;=0,J35*$C$7,0)</f>
        <v>0</v>
      </c>
      <c r="L33" s="275">
        <f t="shared" ref="L33" si="180">IF(K35&gt;=0,K35*$C$7,0)</f>
        <v>0</v>
      </c>
      <c r="M33" s="275">
        <f t="shared" ref="M33" si="181">IF(L35&gt;=0,L35*$C$7,0)</f>
        <v>0</v>
      </c>
      <c r="N33" s="275">
        <f t="shared" ref="N33" si="182">IF(M35&gt;=0,M35*$C$7,0)</f>
        <v>0</v>
      </c>
      <c r="O33" s="275">
        <f t="shared" ref="O33" si="183">IF(N35&gt;=0,N35*$C$7,0)</f>
        <v>0</v>
      </c>
      <c r="P33" s="275">
        <f t="shared" ref="P33" si="184">IF(O35&gt;=0,O35*$C$7,0)</f>
        <v>0</v>
      </c>
      <c r="Q33" s="275">
        <f t="shared" ref="Q33" si="185">IF(P35&gt;=0,P35*$C$7,0)</f>
        <v>0</v>
      </c>
      <c r="R33" s="275">
        <f t="shared" ref="R33" si="186">IF(Q35&gt;=0,Q35*$C$7,0)</f>
        <v>0</v>
      </c>
      <c r="S33" s="275">
        <f t="shared" ref="S33" si="187">IF(R35&gt;=0,R35*$C$7,0)</f>
        <v>0</v>
      </c>
      <c r="T33" s="275">
        <f t="shared" ref="T33" si="188">IF(S35&gt;=0,S35*$C$7,0)</f>
        <v>0</v>
      </c>
      <c r="U33" s="275">
        <f t="shared" ref="U33" si="189">IF(T35&gt;=0,T35*$C$7,0)</f>
        <v>0</v>
      </c>
      <c r="V33" s="275">
        <f t="shared" ref="V33" si="190">IF(U35&gt;=0,U35*$C$7,0)</f>
        <v>0</v>
      </c>
      <c r="W33" s="275">
        <f t="shared" ref="W33" si="191">IF(V35&gt;=0,V35*$C$7,0)</f>
        <v>0</v>
      </c>
      <c r="X33" s="275">
        <f t="shared" ref="X33" si="192">IF(W35&gt;=0,W35*$C$7,0)</f>
        <v>0</v>
      </c>
      <c r="Y33" s="275">
        <f t="shared" ref="Y33" si="193">IF(X35&gt;=0,X35*$C$7,0)</f>
        <v>0</v>
      </c>
      <c r="Z33" s="275">
        <f t="shared" ref="Z33" si="194">IF(Y35&gt;=0,Y35*$C$7,0)</f>
        <v>0</v>
      </c>
      <c r="AA33" s="275">
        <f t="shared" ref="AA33" si="195">IF(Z35&gt;=0,Z35*$C$7,0)</f>
        <v>0</v>
      </c>
      <c r="AB33" s="275">
        <f t="shared" ref="AB33" si="196">IF(AA35&gt;=0,AA35*$C$7,0)</f>
        <v>0</v>
      </c>
      <c r="AC33" s="275">
        <f t="shared" ref="AC33" si="197">IF(AB35&gt;=0,AB35*$C$7,0)</f>
        <v>0</v>
      </c>
      <c r="AD33" s="275">
        <f t="shared" ref="AD33" si="198">IF(AC35&gt;=0,AC35*$C$7,0)</f>
        <v>0</v>
      </c>
      <c r="AE33" s="275">
        <f t="shared" ref="AE33" si="199">IF(AD35&gt;=0,AD35*$C$7,0)</f>
        <v>0</v>
      </c>
      <c r="AF33" s="275">
        <f t="shared" ref="AF33" si="200">IF(AE35&gt;=0,AE35*$C$7,0)</f>
        <v>0</v>
      </c>
      <c r="AG33" s="275">
        <f t="shared" ref="AG33" si="201">IF(AF35&gt;=0,AF35*$C$7,0)</f>
        <v>0</v>
      </c>
      <c r="AH33" s="275">
        <f t="shared" ref="AH33" si="202">IF(AG35&gt;=0,AG35*$C$7,0)</f>
        <v>0</v>
      </c>
      <c r="AI33" s="275">
        <f t="shared" ref="AI33" si="203">IF(AH35&gt;=0,AH35*$C$7,0)</f>
        <v>0</v>
      </c>
      <c r="AJ33" s="275">
        <f t="shared" ref="AJ33" si="204">IF(AI35&gt;=0,AI35*$C$7,0)</f>
        <v>0</v>
      </c>
      <c r="AK33" s="275">
        <f t="shared" ref="AK33" si="205">IF(AJ35&gt;=0,AJ35*$C$7,0)</f>
        <v>0</v>
      </c>
      <c r="AL33" s="275">
        <f t="shared" ref="AL33" si="206">IF(AK35&gt;=0,AK35*$C$7,0)</f>
        <v>0</v>
      </c>
      <c r="AM33" s="275">
        <f t="shared" ref="AM33" si="207">IF(AL35&gt;=0,AL35*$C$7,0)</f>
        <v>0</v>
      </c>
      <c r="AN33" s="275">
        <f t="shared" ref="AN33" si="208">IF(AM35&gt;=0,AM35*$C$7,0)</f>
        <v>0</v>
      </c>
      <c r="AO33" s="275">
        <f t="shared" ref="AO33" si="209">IF(AN35&gt;=0,AN35*$C$7,0)</f>
        <v>0</v>
      </c>
      <c r="AP33" s="275">
        <f t="shared" ref="AP33" si="210">IF(AO35&gt;=0,AO35*$C$7,0)</f>
        <v>0</v>
      </c>
      <c r="AQ33" s="275">
        <f t="shared" ref="AQ33" si="211">IF(AP35&gt;=0,AP35*$C$7,0)</f>
        <v>0</v>
      </c>
      <c r="AR33" s="275">
        <f t="shared" ref="AR33" si="212">IF(AQ35&gt;=0,AQ35*$C$7,0)</f>
        <v>0</v>
      </c>
      <c r="AS33" s="275">
        <f t="shared" ref="AS33" si="213">IF(AR35&gt;=0,AR35*$C$7,0)</f>
        <v>0</v>
      </c>
      <c r="AT33" s="275">
        <f t="shared" ref="AT33" si="214">IF(AS35&gt;=0,AS35*$C$7,0)</f>
        <v>0</v>
      </c>
      <c r="AU33" s="275">
        <f t="shared" ref="AU33" si="215">IF(AT35&gt;=0,AT35*$C$7,0)</f>
        <v>0</v>
      </c>
      <c r="AV33" s="275">
        <f t="shared" ref="AV33" si="216">IF(AU35&gt;=0,AU35*$C$7,0)</f>
        <v>0</v>
      </c>
      <c r="AW33" s="275">
        <f t="shared" ref="AW33" si="217">IF(AV35&gt;=0,AV35*$C$7,0)</f>
        <v>0</v>
      </c>
      <c r="AX33" s="275">
        <f t="shared" ref="AX33" si="218">IF(AW35&gt;=0,AW35*$C$7,0)</f>
        <v>0</v>
      </c>
      <c r="AY33" s="275">
        <f t="shared" ref="AY33" si="219">IF(AX35&gt;=0,AX35*$C$7,0)</f>
        <v>0</v>
      </c>
      <c r="AZ33" s="275">
        <f t="shared" ref="AZ33" si="220">IF(AY35&gt;=0,AY35*$C$7,0)</f>
        <v>0</v>
      </c>
      <c r="BA33" s="275">
        <f t="shared" ref="BA33" si="221">IF(AZ35&gt;=0,AZ35*$C$7,0)</f>
        <v>0</v>
      </c>
      <c r="BB33" s="275">
        <f t="shared" ref="BB33" si="222">IF(BA35&gt;=0,BA35*$C$7,0)</f>
        <v>0</v>
      </c>
      <c r="BC33" s="275">
        <f t="shared" ref="BC33" si="223">IF(BB35&gt;=0,BB35*$C$7,0)</f>
        <v>0</v>
      </c>
      <c r="BD33" s="275">
        <f t="shared" ref="BD33" si="224">IF(BC35&gt;=0,BC35*$C$7,0)</f>
        <v>0</v>
      </c>
      <c r="BE33" s="275">
        <f t="shared" ref="BE33" si="225">IF(BD35&gt;=0,BD35*$C$7,0)</f>
        <v>0</v>
      </c>
      <c r="BF33" s="275">
        <f t="shared" ref="BF33" si="226">IF(BE35&gt;=0,BE35*$C$7,0)</f>
        <v>0</v>
      </c>
      <c r="BG33" s="275">
        <f t="shared" ref="BG33" si="227">IF(BF35&gt;=0,BF35*$C$7,0)</f>
        <v>0</v>
      </c>
      <c r="BH33" s="275">
        <f t="shared" ref="BH33" si="228">IF(BG35&gt;=0,BG35*$C$7,0)</f>
        <v>0</v>
      </c>
      <c r="BI33" s="275">
        <f t="shared" ref="BI33" si="229">IF(BH35&gt;=0,BH35*$C$7,0)</f>
        <v>0</v>
      </c>
      <c r="BJ33" s="275">
        <f t="shared" ref="BJ33" si="230">IF(BI35&gt;=0,BI35*$C$7,0)</f>
        <v>0</v>
      </c>
      <c r="BK33" s="275">
        <f>IF(BJ35&gt;=0,BJ35*$C$7,0)</f>
        <v>0</v>
      </c>
    </row>
    <row r="34" spans="1:63" outlineLevel="1">
      <c r="A34" s="95"/>
      <c r="B34" s="106" t="s">
        <v>130</v>
      </c>
      <c r="C34" s="106"/>
      <c r="D34" s="275">
        <f>C31-D33</f>
        <v>0</v>
      </c>
      <c r="E34" s="275">
        <f>IF(D35&gt;=0.0000001,$C$9-E33,0)</f>
        <v>0</v>
      </c>
      <c r="F34" s="275">
        <f t="shared" ref="F34" si="231">IF(E35&gt;=0.0000001,$C$9-F33,0)</f>
        <v>0</v>
      </c>
      <c r="G34" s="275">
        <f t="shared" ref="G34" si="232">IF(F35&gt;=0.0000001,$C$9-G33,0)</f>
        <v>0</v>
      </c>
      <c r="H34" s="275">
        <f t="shared" ref="H34" si="233">IF(G35&gt;=0.0000001,$C$9-H33,0)</f>
        <v>0</v>
      </c>
      <c r="I34" s="275">
        <f t="shared" ref="I34" si="234">IF(H35&gt;=0.0000001,$C$9-I33,0)</f>
        <v>0</v>
      </c>
      <c r="J34" s="275">
        <f t="shared" ref="J34" si="235">IF(I35&gt;=0.0000001,$C$9-J33,0)</f>
        <v>0</v>
      </c>
      <c r="K34" s="275">
        <f t="shared" ref="K34" si="236">IF(J35&gt;=0.0000001,$C$9-K33,0)</f>
        <v>0</v>
      </c>
      <c r="L34" s="275">
        <f t="shared" ref="L34" si="237">IF(K35&gt;=0.0000001,$C$9-L33,0)</f>
        <v>0</v>
      </c>
      <c r="M34" s="275">
        <f t="shared" ref="M34" si="238">IF(L35&gt;=0.0000001,$C$9-M33,0)</f>
        <v>0</v>
      </c>
      <c r="N34" s="275">
        <f t="shared" ref="N34" si="239">IF(M35&gt;=0.0000001,$C$9-N33,0)</f>
        <v>0</v>
      </c>
      <c r="O34" s="275">
        <f t="shared" ref="O34" si="240">IF(N35&gt;=0.0000001,$C$9-O33,0)</f>
        <v>0</v>
      </c>
      <c r="P34" s="275">
        <f t="shared" ref="P34" si="241">IF(O35&gt;=0.0000001,$C$9-P33,0)</f>
        <v>0</v>
      </c>
      <c r="Q34" s="275">
        <f t="shared" ref="Q34" si="242">IF(P35&gt;=0.0000001,$C$9-Q33,0)</f>
        <v>0</v>
      </c>
      <c r="R34" s="275">
        <f t="shared" ref="R34" si="243">IF(Q35&gt;=0.0000001,$C$9-R33,0)</f>
        <v>0</v>
      </c>
      <c r="S34" s="275">
        <f t="shared" ref="S34" si="244">IF(R35&gt;=0.0000001,$C$9-S33,0)</f>
        <v>0</v>
      </c>
      <c r="T34" s="275">
        <f t="shared" ref="T34" si="245">IF(S35&gt;=0.0000001,$C$9-T33,0)</f>
        <v>0</v>
      </c>
      <c r="U34" s="275">
        <f t="shared" ref="U34" si="246">IF(T35&gt;=0.0000001,$C$9-U33,0)</f>
        <v>0</v>
      </c>
      <c r="V34" s="275">
        <f t="shared" ref="V34" si="247">IF(U35&gt;=0.0000001,$C$9-V33,0)</f>
        <v>0</v>
      </c>
      <c r="W34" s="275">
        <f t="shared" ref="W34" si="248">IF(V35&gt;=0.0000001,$C$9-W33,0)</f>
        <v>0</v>
      </c>
      <c r="X34" s="275">
        <f t="shared" ref="X34" si="249">IF(W35&gt;=0.0000001,$C$9-X33,0)</f>
        <v>0</v>
      </c>
      <c r="Y34" s="275">
        <f t="shared" ref="Y34" si="250">IF(X35&gt;=0.0000001,$C$9-Y33,0)</f>
        <v>0</v>
      </c>
      <c r="Z34" s="275">
        <f t="shared" ref="Z34" si="251">IF(Y35&gt;=0.0000001,$C$9-Z33,0)</f>
        <v>0</v>
      </c>
      <c r="AA34" s="275">
        <f t="shared" ref="AA34" si="252">IF(Z35&gt;=0.0000001,$C$9-AA33,0)</f>
        <v>0</v>
      </c>
      <c r="AB34" s="275">
        <f t="shared" ref="AB34" si="253">IF(AA35&gt;=0.0000001,$C$9-AB33,0)</f>
        <v>0</v>
      </c>
      <c r="AC34" s="275">
        <f t="shared" ref="AC34" si="254">IF(AB35&gt;=0.0000001,$C$9-AC33,0)</f>
        <v>0</v>
      </c>
      <c r="AD34" s="275">
        <f t="shared" ref="AD34" si="255">IF(AC35&gt;=0.0000001,$C$9-AD33,0)</f>
        <v>0</v>
      </c>
      <c r="AE34" s="275">
        <f t="shared" ref="AE34" si="256">IF(AD35&gt;=0.0000001,$C$9-AE33,0)</f>
        <v>0</v>
      </c>
      <c r="AF34" s="275">
        <f t="shared" ref="AF34" si="257">IF(AE35&gt;=0.0000001,$C$9-AF33,0)</f>
        <v>0</v>
      </c>
      <c r="AG34" s="275">
        <f t="shared" ref="AG34" si="258">IF(AF35&gt;=0.0000001,$C$9-AG33,0)</f>
        <v>0</v>
      </c>
      <c r="AH34" s="275">
        <f t="shared" ref="AH34" si="259">IF(AG35&gt;=0.0000001,$C$9-AH33,0)</f>
        <v>0</v>
      </c>
      <c r="AI34" s="275">
        <f t="shared" ref="AI34" si="260">IF(AH35&gt;=0.0000001,$C$9-AI33,0)</f>
        <v>0</v>
      </c>
      <c r="AJ34" s="275">
        <f t="shared" ref="AJ34" si="261">IF(AI35&gt;=0.0000001,$C$9-AJ33,0)</f>
        <v>0</v>
      </c>
      <c r="AK34" s="275">
        <f t="shared" ref="AK34" si="262">IF(AJ35&gt;=0.0000001,$C$9-AK33,0)</f>
        <v>0</v>
      </c>
      <c r="AL34" s="275">
        <f t="shared" ref="AL34" si="263">IF(AK35&gt;=0.0000001,$C$9-AL33,0)</f>
        <v>0</v>
      </c>
      <c r="AM34" s="275">
        <f t="shared" ref="AM34" si="264">IF(AL35&gt;=0.0000001,$C$9-AM33,0)</f>
        <v>0</v>
      </c>
      <c r="AN34" s="275">
        <f t="shared" ref="AN34" si="265">IF(AM35&gt;=0.0000001,$C$9-AN33,0)</f>
        <v>0</v>
      </c>
      <c r="AO34" s="275">
        <f t="shared" ref="AO34" si="266">IF(AN35&gt;=0.0000001,$C$9-AO33,0)</f>
        <v>0</v>
      </c>
      <c r="AP34" s="275">
        <f t="shared" ref="AP34" si="267">IF(AO35&gt;=0.0000001,$C$9-AP33,0)</f>
        <v>0</v>
      </c>
      <c r="AQ34" s="275">
        <f t="shared" ref="AQ34" si="268">IF(AP35&gt;=0.0000001,$C$9-AQ33,0)</f>
        <v>0</v>
      </c>
      <c r="AR34" s="275">
        <f t="shared" ref="AR34" si="269">IF(AQ35&gt;=0.0000001,$C$9-AR33,0)</f>
        <v>0</v>
      </c>
      <c r="AS34" s="275">
        <f t="shared" ref="AS34" si="270">IF(AR35&gt;=0.0000001,$C$9-AS33,0)</f>
        <v>0</v>
      </c>
      <c r="AT34" s="275">
        <f t="shared" ref="AT34" si="271">IF(AS35&gt;=0.0000001,$C$9-AT33,0)</f>
        <v>0</v>
      </c>
      <c r="AU34" s="275">
        <f t="shared" ref="AU34" si="272">IF(AT35&gt;=0.0000001,$C$9-AU33,0)</f>
        <v>0</v>
      </c>
      <c r="AV34" s="275">
        <f t="shared" ref="AV34" si="273">IF(AU35&gt;=0.0000001,$C$9-AV33,0)</f>
        <v>0</v>
      </c>
      <c r="AW34" s="275">
        <f t="shared" ref="AW34" si="274">IF(AV35&gt;=0.0000001,$C$9-AW33,0)</f>
        <v>0</v>
      </c>
      <c r="AX34" s="275">
        <f t="shared" ref="AX34" si="275">IF(AW35&gt;=0.0000001,$C$9-AX33,0)</f>
        <v>0</v>
      </c>
      <c r="AY34" s="275">
        <f t="shared" ref="AY34" si="276">IF(AX35&gt;=0.0000001,$C$9-AY33,0)</f>
        <v>0</v>
      </c>
      <c r="AZ34" s="275">
        <f t="shared" ref="AZ34" si="277">IF(AY35&gt;=0.0000001,$C$9-AZ33,0)</f>
        <v>0</v>
      </c>
      <c r="BA34" s="275">
        <f t="shared" ref="BA34" si="278">IF(AZ35&gt;=0.0000001,$C$9-BA33,0)</f>
        <v>0</v>
      </c>
      <c r="BB34" s="275">
        <f t="shared" ref="BB34" si="279">IF(BA35&gt;=0.0000001,$C$9-BB33,0)</f>
        <v>0</v>
      </c>
      <c r="BC34" s="275">
        <f t="shared" ref="BC34" si="280">IF(BB35&gt;=0.0000001,$C$9-BC33,0)</f>
        <v>0</v>
      </c>
      <c r="BD34" s="275">
        <f t="shared" ref="BD34" si="281">IF(BC35&gt;=0.0000001,$C$9-BD33,0)</f>
        <v>0</v>
      </c>
      <c r="BE34" s="275">
        <f t="shared" ref="BE34" si="282">IF(BD35&gt;=0.0000001,$C$9-BE33,0)</f>
        <v>0</v>
      </c>
      <c r="BF34" s="275">
        <f t="shared" ref="BF34" si="283">IF(BE35&gt;=0.0000001,$C$9-BF33,0)</f>
        <v>0</v>
      </c>
      <c r="BG34" s="275">
        <f t="shared" ref="BG34" si="284">IF(BF35&gt;=0.0000001,$C$9-BG33,0)</f>
        <v>0</v>
      </c>
      <c r="BH34" s="275">
        <f t="shared" ref="BH34" si="285">IF(BG35&gt;=0.0000001,$C$9-BH33,0)</f>
        <v>0</v>
      </c>
      <c r="BI34" s="275">
        <f t="shared" ref="BI34" si="286">IF(BH35&gt;=0.0000001,$C$9-BI33,0)</f>
        <v>0</v>
      </c>
      <c r="BJ34" s="275">
        <f t="shared" ref="BJ34" si="287">IF(BI35&gt;=0.0000001,$C$9-BJ33,0)</f>
        <v>0</v>
      </c>
      <c r="BK34" s="275">
        <f>IF(BJ35&gt;=0.0000001,$C$9-BK33,0)</f>
        <v>0</v>
      </c>
    </row>
    <row r="35" spans="1:63" outlineLevel="1">
      <c r="A35" s="96"/>
      <c r="B35" s="116" t="s">
        <v>131</v>
      </c>
      <c r="C35" s="116"/>
      <c r="D35" s="165">
        <f>C27-D34</f>
        <v>0</v>
      </c>
      <c r="E35" s="165">
        <f>IF(E34&gt;0,IF(D35&gt;E34,D35-E34,0),0)</f>
        <v>0</v>
      </c>
      <c r="F35" s="165">
        <f t="shared" ref="F35" si="288">IF(F34&gt;0,IF(E35&gt;F34,E35-F34,0),0)</f>
        <v>0</v>
      </c>
      <c r="G35" s="165">
        <f t="shared" ref="G35" si="289">IF(G34&gt;0,IF(F35&gt;G34,F35-G34,0),0)</f>
        <v>0</v>
      </c>
      <c r="H35" s="165">
        <f t="shared" ref="H35" si="290">IF(H34&gt;0,IF(G35&gt;H34,G35-H34,0),0)</f>
        <v>0</v>
      </c>
      <c r="I35" s="165">
        <f t="shared" ref="I35" si="291">IF(I34&gt;0,IF(H35&gt;I34,H35-I34,0),0)</f>
        <v>0</v>
      </c>
      <c r="J35" s="165">
        <f t="shared" ref="J35" si="292">IF(J34&gt;0,IF(I35&gt;J34,I35-J34,0),0)</f>
        <v>0</v>
      </c>
      <c r="K35" s="165">
        <f t="shared" ref="K35" si="293">IF(K34&gt;0,IF(J35&gt;K34,J35-K34,0),0)</f>
        <v>0</v>
      </c>
      <c r="L35" s="165">
        <f t="shared" ref="L35" si="294">IF(L34&gt;0,IF(K35&gt;L34,K35-L34,0),0)</f>
        <v>0</v>
      </c>
      <c r="M35" s="165">
        <f t="shared" ref="M35" si="295">IF(M34&gt;0,IF(L35&gt;M34,L35-M34,0),0)</f>
        <v>0</v>
      </c>
      <c r="N35" s="165">
        <f t="shared" ref="N35" si="296">IF(N34&gt;0,IF(M35&gt;N34,M35-N34,0),0)</f>
        <v>0</v>
      </c>
      <c r="O35" s="165">
        <f t="shared" ref="O35" si="297">IF(O34&gt;0,IF(N35&gt;O34,N35-O34,0),0)</f>
        <v>0</v>
      </c>
      <c r="P35" s="165">
        <f t="shared" ref="P35" si="298">IF(P34&gt;0,IF(O35&gt;P34,O35-P34,0),0)</f>
        <v>0</v>
      </c>
      <c r="Q35" s="165">
        <f t="shared" ref="Q35" si="299">IF(Q34&gt;0,IF(P35&gt;Q34,P35-Q34,0),0)</f>
        <v>0</v>
      </c>
      <c r="R35" s="165">
        <f t="shared" ref="R35" si="300">IF(R34&gt;0,IF(Q35&gt;R34,Q35-R34,0),0)</f>
        <v>0</v>
      </c>
      <c r="S35" s="165">
        <f t="shared" ref="S35" si="301">IF(S34&gt;0,IF(R35&gt;S34,R35-S34,0),0)</f>
        <v>0</v>
      </c>
      <c r="T35" s="165">
        <f t="shared" ref="T35" si="302">IF(T34&gt;0,IF(S35&gt;T34,S35-T34,0),0)</f>
        <v>0</v>
      </c>
      <c r="U35" s="165">
        <f t="shared" ref="U35" si="303">IF(U34&gt;0,IF(T35&gt;U34,T35-U34,0),0)</f>
        <v>0</v>
      </c>
      <c r="V35" s="165">
        <f t="shared" ref="V35" si="304">IF(V34&gt;0,IF(U35&gt;V34,U35-V34,0),0)</f>
        <v>0</v>
      </c>
      <c r="W35" s="165">
        <f t="shared" ref="W35" si="305">IF(W34&gt;0,IF(V35&gt;W34,V35-W34,0),0)</f>
        <v>0</v>
      </c>
      <c r="X35" s="165">
        <f t="shared" ref="X35" si="306">IF(X34&gt;0,IF(W35&gt;X34,W35-X34,0),0)</f>
        <v>0</v>
      </c>
      <c r="Y35" s="165">
        <f t="shared" ref="Y35" si="307">IF(Y34&gt;0,IF(X35&gt;Y34,X35-Y34,0),0)</f>
        <v>0</v>
      </c>
      <c r="Z35" s="165">
        <f t="shared" ref="Z35" si="308">IF(Z34&gt;0,IF(Y35&gt;Z34,Y35-Z34,0),0)</f>
        <v>0</v>
      </c>
      <c r="AA35" s="165">
        <f t="shared" ref="AA35" si="309">IF(AA34&gt;0,IF(Z35&gt;AA34,Z35-AA34,0),0)</f>
        <v>0</v>
      </c>
      <c r="AB35" s="165">
        <f t="shared" ref="AB35" si="310">IF(AB34&gt;0,IF(AA35&gt;AB34,AA35-AB34,0),0)</f>
        <v>0</v>
      </c>
      <c r="AC35" s="165">
        <f t="shared" ref="AC35" si="311">IF(AC34&gt;0,IF(AB35&gt;AC34,AB35-AC34,0),0)</f>
        <v>0</v>
      </c>
      <c r="AD35" s="165">
        <f t="shared" ref="AD35" si="312">IF(AD34&gt;0,IF(AC35&gt;AD34,AC35-AD34,0),0)</f>
        <v>0</v>
      </c>
      <c r="AE35" s="165">
        <f t="shared" ref="AE35" si="313">IF(AE34&gt;0,IF(AD35&gt;AE34,AD35-AE34,0),0)</f>
        <v>0</v>
      </c>
      <c r="AF35" s="165">
        <f t="shared" ref="AF35" si="314">IF(AF34&gt;0,IF(AE35&gt;AF34,AE35-AF34,0),0)</f>
        <v>0</v>
      </c>
      <c r="AG35" s="165">
        <f t="shared" ref="AG35" si="315">IF(AG34&gt;0,IF(AF35&gt;AG34,AF35-AG34,0),0)</f>
        <v>0</v>
      </c>
      <c r="AH35" s="165">
        <f t="shared" ref="AH35" si="316">IF(AH34&gt;0,IF(AG35&gt;AH34,AG35-AH34,0),0)</f>
        <v>0</v>
      </c>
      <c r="AI35" s="165">
        <f t="shared" ref="AI35" si="317">IF(AI34&gt;0,IF(AH35&gt;AI34,AH35-AI34,0),0)</f>
        <v>0</v>
      </c>
      <c r="AJ35" s="165">
        <f t="shared" ref="AJ35" si="318">IF(AJ34&gt;0,IF(AI35&gt;AJ34,AI35-AJ34,0),0)</f>
        <v>0</v>
      </c>
      <c r="AK35" s="165">
        <f t="shared" ref="AK35" si="319">IF(AK34&gt;0,IF(AJ35&gt;AK34,AJ35-AK34,0),0)</f>
        <v>0</v>
      </c>
      <c r="AL35" s="165">
        <f t="shared" ref="AL35" si="320">IF(AL34&gt;0,IF(AK35&gt;AL34,AK35-AL34,0),0)</f>
        <v>0</v>
      </c>
      <c r="AM35" s="165">
        <f t="shared" ref="AM35" si="321">IF(AM34&gt;0,IF(AL35&gt;AM34,AL35-AM34,0),0)</f>
        <v>0</v>
      </c>
      <c r="AN35" s="165">
        <f t="shared" ref="AN35" si="322">IF(AN34&gt;0,IF(AM35&gt;AN34,AM35-AN34,0),0)</f>
        <v>0</v>
      </c>
      <c r="AO35" s="165">
        <f t="shared" ref="AO35" si="323">IF(AO34&gt;0,IF(AN35&gt;AO34,AN35-AO34,0),0)</f>
        <v>0</v>
      </c>
      <c r="AP35" s="165">
        <f t="shared" ref="AP35" si="324">IF(AP34&gt;0,IF(AO35&gt;AP34,AO35-AP34,0),0)</f>
        <v>0</v>
      </c>
      <c r="AQ35" s="165">
        <f t="shared" ref="AQ35" si="325">IF(AQ34&gt;0,IF(AP35&gt;AQ34,AP35-AQ34,0),0)</f>
        <v>0</v>
      </c>
      <c r="AR35" s="165">
        <f t="shared" ref="AR35" si="326">IF(AR34&gt;0,IF(AQ35&gt;AR34,AQ35-AR34,0),0)</f>
        <v>0</v>
      </c>
      <c r="AS35" s="165">
        <f t="shared" ref="AS35" si="327">IF(AS34&gt;0,IF(AR35&gt;AS34,AR35-AS34,0),0)</f>
        <v>0</v>
      </c>
      <c r="AT35" s="165">
        <f t="shared" ref="AT35" si="328">IF(AT34&gt;0,IF(AS35&gt;AT34,AS35-AT34,0),0)</f>
        <v>0</v>
      </c>
      <c r="AU35" s="165">
        <f t="shared" ref="AU35" si="329">IF(AU34&gt;0,IF(AT35&gt;AU34,AT35-AU34,0),0)</f>
        <v>0</v>
      </c>
      <c r="AV35" s="165">
        <f t="shared" ref="AV35" si="330">IF(AV34&gt;0,IF(AU35&gt;AV34,AU35-AV34,0),0)</f>
        <v>0</v>
      </c>
      <c r="AW35" s="165">
        <f t="shared" ref="AW35" si="331">IF(AW34&gt;0,IF(AV35&gt;AW34,AV35-AW34,0),0)</f>
        <v>0</v>
      </c>
      <c r="AX35" s="165">
        <f t="shared" ref="AX35" si="332">IF(AX34&gt;0,IF(AW35&gt;AX34,AW35-AX34,0),0)</f>
        <v>0</v>
      </c>
      <c r="AY35" s="165">
        <f t="shared" ref="AY35" si="333">IF(AY34&gt;0,IF(AX35&gt;AY34,AX35-AY34,0),0)</f>
        <v>0</v>
      </c>
      <c r="AZ35" s="165">
        <f t="shared" ref="AZ35" si="334">IF(AZ34&gt;0,IF(AY35&gt;AZ34,AY35-AZ34,0),0)</f>
        <v>0</v>
      </c>
      <c r="BA35" s="165">
        <f t="shared" ref="BA35" si="335">IF(BA34&gt;0,IF(AZ35&gt;BA34,AZ35-BA34,0),0)</f>
        <v>0</v>
      </c>
      <c r="BB35" s="165">
        <f t="shared" ref="BB35" si="336">IF(BB34&gt;0,IF(BA35&gt;BB34,BA35-BB34,0),0)</f>
        <v>0</v>
      </c>
      <c r="BC35" s="165">
        <f t="shared" ref="BC35" si="337">IF(BC34&gt;0,IF(BB35&gt;BC34,BB35-BC34,0),0)</f>
        <v>0</v>
      </c>
      <c r="BD35" s="165">
        <f t="shared" ref="BD35" si="338">IF(BD34&gt;0,IF(BC35&gt;BD34,BC35-BD34,0),0)</f>
        <v>0</v>
      </c>
      <c r="BE35" s="165">
        <f t="shared" ref="BE35" si="339">IF(BE34&gt;0,IF(BD35&gt;BE34,BD35-BE34,0),0)</f>
        <v>0</v>
      </c>
      <c r="BF35" s="165">
        <f t="shared" ref="BF35" si="340">IF(BF34&gt;0,IF(BE35&gt;BF34,BE35-BF34,0),0)</f>
        <v>0</v>
      </c>
      <c r="BG35" s="165">
        <f t="shared" ref="BG35" si="341">IF(BG34&gt;0,IF(BF35&gt;BG34,BF35-BG34,0),0)</f>
        <v>0</v>
      </c>
      <c r="BH35" s="165">
        <f t="shared" ref="BH35" si="342">IF(BH34&gt;0,IF(BG35&gt;BH34,BG35-BH34,0),0)</f>
        <v>0</v>
      </c>
      <c r="BI35" s="165">
        <f t="shared" ref="BI35" si="343">IF(BI34&gt;0,IF(BH35&gt;BI34,BH35-BI34,0),0)</f>
        <v>0</v>
      </c>
      <c r="BJ35" s="165">
        <f t="shared" ref="BJ35" si="344">IF(BJ34&gt;0,IF(BI35&gt;BJ34,BI35-BJ34,0),0)</f>
        <v>0</v>
      </c>
      <c r="BK35" s="165">
        <f>IF(BK34&gt;0,IF(BJ35&gt;BK34,BJ35-BK34,0),0)</f>
        <v>0</v>
      </c>
    </row>
    <row r="36" spans="1:63">
      <c r="A36" s="95"/>
      <c r="B36" s="106"/>
      <c r="C36" s="10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63">
      <c r="A37" s="111" t="s">
        <v>271</v>
      </c>
      <c r="B37" s="112"/>
      <c r="C37" s="11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spans="1:63">
      <c r="A38" s="95"/>
      <c r="B38" s="109" t="s">
        <v>9</v>
      </c>
      <c r="C38" s="282">
        <f>'8) Opening Balance Sheet'!C20</f>
        <v>0</v>
      </c>
      <c r="D38" s="15"/>
      <c r="E38" s="2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spans="1:63">
      <c r="A39" s="95"/>
      <c r="B39" s="109" t="s">
        <v>10</v>
      </c>
      <c r="C39" s="113">
        <f>'8) Opening Balance Sheet'!D20</f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  <row r="40" spans="1:63">
      <c r="A40" s="95"/>
      <c r="B40" s="109" t="s">
        <v>140</v>
      </c>
      <c r="C40" s="113">
        <f>((1+C39)^(1/12))-1</f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</row>
    <row r="41" spans="1:63">
      <c r="A41" s="95"/>
      <c r="B41" s="109" t="s">
        <v>11</v>
      </c>
      <c r="C41" s="114">
        <f>'8) Opening Balance Sheet'!E20</f>
        <v>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</row>
    <row r="42" spans="1:63">
      <c r="A42" s="95"/>
      <c r="B42" s="109" t="s">
        <v>141</v>
      </c>
      <c r="C42" s="115">
        <f>-PMT(C40,C41,C38,0,0)</f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1:63">
      <c r="A43" s="95"/>
      <c r="B43" s="106"/>
      <c r="C43" s="10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spans="1:63">
      <c r="A44" s="95"/>
      <c r="B44" s="106" t="s">
        <v>0</v>
      </c>
      <c r="C44" s="106"/>
      <c r="D44" s="275">
        <f>C40*C38</f>
        <v>0</v>
      </c>
      <c r="E44" s="275">
        <f>IF(D46&gt;=0,D46*$C$40,0)</f>
        <v>0</v>
      </c>
      <c r="F44" s="275">
        <f t="shared" ref="F44:BK44" si="345">IF(E46&gt;=0,E46*$C$40,0)</f>
        <v>0</v>
      </c>
      <c r="G44" s="275">
        <f t="shared" si="345"/>
        <v>0</v>
      </c>
      <c r="H44" s="275">
        <f t="shared" si="345"/>
        <v>0</v>
      </c>
      <c r="I44" s="275">
        <f t="shared" si="345"/>
        <v>0</v>
      </c>
      <c r="J44" s="275">
        <f t="shared" si="345"/>
        <v>0</v>
      </c>
      <c r="K44" s="275">
        <f t="shared" si="345"/>
        <v>0</v>
      </c>
      <c r="L44" s="275">
        <f t="shared" si="345"/>
        <v>0</v>
      </c>
      <c r="M44" s="275">
        <f t="shared" si="345"/>
        <v>0</v>
      </c>
      <c r="N44" s="275">
        <f t="shared" si="345"/>
        <v>0</v>
      </c>
      <c r="O44" s="275">
        <f t="shared" si="345"/>
        <v>0</v>
      </c>
      <c r="P44" s="275">
        <f t="shared" si="345"/>
        <v>0</v>
      </c>
      <c r="Q44" s="275">
        <f t="shared" si="345"/>
        <v>0</v>
      </c>
      <c r="R44" s="275">
        <f t="shared" si="345"/>
        <v>0</v>
      </c>
      <c r="S44" s="275">
        <f t="shared" si="345"/>
        <v>0</v>
      </c>
      <c r="T44" s="275">
        <f t="shared" si="345"/>
        <v>0</v>
      </c>
      <c r="U44" s="275">
        <f t="shared" si="345"/>
        <v>0</v>
      </c>
      <c r="V44" s="275">
        <f t="shared" si="345"/>
        <v>0</v>
      </c>
      <c r="W44" s="275">
        <f t="shared" si="345"/>
        <v>0</v>
      </c>
      <c r="X44" s="275">
        <f t="shared" si="345"/>
        <v>0</v>
      </c>
      <c r="Y44" s="275">
        <f t="shared" si="345"/>
        <v>0</v>
      </c>
      <c r="Z44" s="275">
        <f t="shared" si="345"/>
        <v>0</v>
      </c>
      <c r="AA44" s="275">
        <f t="shared" si="345"/>
        <v>0</v>
      </c>
      <c r="AB44" s="275">
        <f t="shared" si="345"/>
        <v>0</v>
      </c>
      <c r="AC44" s="275">
        <f t="shared" si="345"/>
        <v>0</v>
      </c>
      <c r="AD44" s="275">
        <f t="shared" si="345"/>
        <v>0</v>
      </c>
      <c r="AE44" s="275">
        <f t="shared" si="345"/>
        <v>0</v>
      </c>
      <c r="AF44" s="275">
        <f t="shared" si="345"/>
        <v>0</v>
      </c>
      <c r="AG44" s="275">
        <f t="shared" si="345"/>
        <v>0</v>
      </c>
      <c r="AH44" s="275">
        <f t="shared" si="345"/>
        <v>0</v>
      </c>
      <c r="AI44" s="275">
        <f t="shared" si="345"/>
        <v>0</v>
      </c>
      <c r="AJ44" s="275">
        <f t="shared" si="345"/>
        <v>0</v>
      </c>
      <c r="AK44" s="275">
        <f t="shared" si="345"/>
        <v>0</v>
      </c>
      <c r="AL44" s="275">
        <f t="shared" si="345"/>
        <v>0</v>
      </c>
      <c r="AM44" s="275">
        <f t="shared" si="345"/>
        <v>0</v>
      </c>
      <c r="AN44" s="275">
        <f t="shared" si="345"/>
        <v>0</v>
      </c>
      <c r="AO44" s="275">
        <f t="shared" si="345"/>
        <v>0</v>
      </c>
      <c r="AP44" s="275">
        <f t="shared" si="345"/>
        <v>0</v>
      </c>
      <c r="AQ44" s="275">
        <f t="shared" si="345"/>
        <v>0</v>
      </c>
      <c r="AR44" s="275">
        <f t="shared" si="345"/>
        <v>0</v>
      </c>
      <c r="AS44" s="275">
        <f t="shared" si="345"/>
        <v>0</v>
      </c>
      <c r="AT44" s="275">
        <f t="shared" si="345"/>
        <v>0</v>
      </c>
      <c r="AU44" s="275">
        <f t="shared" si="345"/>
        <v>0</v>
      </c>
      <c r="AV44" s="275">
        <f t="shared" si="345"/>
        <v>0</v>
      </c>
      <c r="AW44" s="275">
        <f t="shared" si="345"/>
        <v>0</v>
      </c>
      <c r="AX44" s="275">
        <f t="shared" si="345"/>
        <v>0</v>
      </c>
      <c r="AY44" s="275">
        <f t="shared" si="345"/>
        <v>0</v>
      </c>
      <c r="AZ44" s="275">
        <f t="shared" si="345"/>
        <v>0</v>
      </c>
      <c r="BA44" s="275">
        <f t="shared" si="345"/>
        <v>0</v>
      </c>
      <c r="BB44" s="275">
        <f t="shared" si="345"/>
        <v>0</v>
      </c>
      <c r="BC44" s="275">
        <f t="shared" si="345"/>
        <v>0</v>
      </c>
      <c r="BD44" s="275">
        <f t="shared" si="345"/>
        <v>0</v>
      </c>
      <c r="BE44" s="275">
        <f t="shared" si="345"/>
        <v>0</v>
      </c>
      <c r="BF44" s="275">
        <f t="shared" si="345"/>
        <v>0</v>
      </c>
      <c r="BG44" s="275">
        <f t="shared" si="345"/>
        <v>0</v>
      </c>
      <c r="BH44" s="275">
        <f t="shared" si="345"/>
        <v>0</v>
      </c>
      <c r="BI44" s="275">
        <f t="shared" si="345"/>
        <v>0</v>
      </c>
      <c r="BJ44" s="275">
        <f t="shared" si="345"/>
        <v>0</v>
      </c>
      <c r="BK44" s="275">
        <f t="shared" si="345"/>
        <v>0</v>
      </c>
    </row>
    <row r="45" spans="1:63">
      <c r="A45" s="95"/>
      <c r="B45" s="106" t="s">
        <v>130</v>
      </c>
      <c r="C45" s="106"/>
      <c r="D45" s="275">
        <f>$C$42-D44</f>
        <v>0</v>
      </c>
      <c r="E45" s="275">
        <f>IF(D46&gt;=0.0000001,$C$42-E44,0)</f>
        <v>0</v>
      </c>
      <c r="F45" s="275">
        <f t="shared" ref="F45:BK45" si="346">IF(E46&gt;=0.0000001,$C$42-F44,0)</f>
        <v>0</v>
      </c>
      <c r="G45" s="275">
        <f t="shared" si="346"/>
        <v>0</v>
      </c>
      <c r="H45" s="275">
        <f t="shared" si="346"/>
        <v>0</v>
      </c>
      <c r="I45" s="275">
        <f t="shared" si="346"/>
        <v>0</v>
      </c>
      <c r="J45" s="275">
        <f t="shared" si="346"/>
        <v>0</v>
      </c>
      <c r="K45" s="275">
        <f t="shared" si="346"/>
        <v>0</v>
      </c>
      <c r="L45" s="275">
        <f t="shared" si="346"/>
        <v>0</v>
      </c>
      <c r="M45" s="275">
        <f t="shared" si="346"/>
        <v>0</v>
      </c>
      <c r="N45" s="275">
        <f t="shared" si="346"/>
        <v>0</v>
      </c>
      <c r="O45" s="275">
        <f t="shared" si="346"/>
        <v>0</v>
      </c>
      <c r="P45" s="275">
        <f t="shared" si="346"/>
        <v>0</v>
      </c>
      <c r="Q45" s="275">
        <f t="shared" si="346"/>
        <v>0</v>
      </c>
      <c r="R45" s="275">
        <f t="shared" si="346"/>
        <v>0</v>
      </c>
      <c r="S45" s="275">
        <f t="shared" si="346"/>
        <v>0</v>
      </c>
      <c r="T45" s="275">
        <f t="shared" si="346"/>
        <v>0</v>
      </c>
      <c r="U45" s="275">
        <f t="shared" si="346"/>
        <v>0</v>
      </c>
      <c r="V45" s="275">
        <f t="shared" si="346"/>
        <v>0</v>
      </c>
      <c r="W45" s="275">
        <f t="shared" si="346"/>
        <v>0</v>
      </c>
      <c r="X45" s="275">
        <f t="shared" si="346"/>
        <v>0</v>
      </c>
      <c r="Y45" s="275">
        <f t="shared" si="346"/>
        <v>0</v>
      </c>
      <c r="Z45" s="275">
        <f t="shared" si="346"/>
        <v>0</v>
      </c>
      <c r="AA45" s="275">
        <f t="shared" si="346"/>
        <v>0</v>
      </c>
      <c r="AB45" s="275">
        <f t="shared" si="346"/>
        <v>0</v>
      </c>
      <c r="AC45" s="275">
        <f t="shared" si="346"/>
        <v>0</v>
      </c>
      <c r="AD45" s="275">
        <f t="shared" si="346"/>
        <v>0</v>
      </c>
      <c r="AE45" s="275">
        <f t="shared" si="346"/>
        <v>0</v>
      </c>
      <c r="AF45" s="275">
        <f t="shared" si="346"/>
        <v>0</v>
      </c>
      <c r="AG45" s="275">
        <f t="shared" si="346"/>
        <v>0</v>
      </c>
      <c r="AH45" s="275">
        <f t="shared" si="346"/>
        <v>0</v>
      </c>
      <c r="AI45" s="275">
        <f t="shared" si="346"/>
        <v>0</v>
      </c>
      <c r="AJ45" s="275">
        <f t="shared" si="346"/>
        <v>0</v>
      </c>
      <c r="AK45" s="275">
        <f t="shared" si="346"/>
        <v>0</v>
      </c>
      <c r="AL45" s="275">
        <f t="shared" si="346"/>
        <v>0</v>
      </c>
      <c r="AM45" s="275">
        <f t="shared" si="346"/>
        <v>0</v>
      </c>
      <c r="AN45" s="275">
        <f t="shared" si="346"/>
        <v>0</v>
      </c>
      <c r="AO45" s="275">
        <f t="shared" si="346"/>
        <v>0</v>
      </c>
      <c r="AP45" s="275">
        <f t="shared" si="346"/>
        <v>0</v>
      </c>
      <c r="AQ45" s="275">
        <f t="shared" si="346"/>
        <v>0</v>
      </c>
      <c r="AR45" s="275">
        <f t="shared" si="346"/>
        <v>0</v>
      </c>
      <c r="AS45" s="275">
        <f t="shared" si="346"/>
        <v>0</v>
      </c>
      <c r="AT45" s="275">
        <f t="shared" si="346"/>
        <v>0</v>
      </c>
      <c r="AU45" s="275">
        <f t="shared" si="346"/>
        <v>0</v>
      </c>
      <c r="AV45" s="275">
        <f t="shared" si="346"/>
        <v>0</v>
      </c>
      <c r="AW45" s="275">
        <f t="shared" si="346"/>
        <v>0</v>
      </c>
      <c r="AX45" s="275">
        <f t="shared" si="346"/>
        <v>0</v>
      </c>
      <c r="AY45" s="275">
        <f t="shared" si="346"/>
        <v>0</v>
      </c>
      <c r="AZ45" s="275">
        <f t="shared" si="346"/>
        <v>0</v>
      </c>
      <c r="BA45" s="275">
        <f t="shared" si="346"/>
        <v>0</v>
      </c>
      <c r="BB45" s="275">
        <f t="shared" si="346"/>
        <v>0</v>
      </c>
      <c r="BC45" s="275">
        <f t="shared" si="346"/>
        <v>0</v>
      </c>
      <c r="BD45" s="275">
        <f t="shared" si="346"/>
        <v>0</v>
      </c>
      <c r="BE45" s="275">
        <f t="shared" si="346"/>
        <v>0</v>
      </c>
      <c r="BF45" s="275">
        <f t="shared" si="346"/>
        <v>0</v>
      </c>
      <c r="BG45" s="275">
        <f t="shared" si="346"/>
        <v>0</v>
      </c>
      <c r="BH45" s="275">
        <f t="shared" si="346"/>
        <v>0</v>
      </c>
      <c r="BI45" s="275">
        <f t="shared" si="346"/>
        <v>0</v>
      </c>
      <c r="BJ45" s="275">
        <f t="shared" si="346"/>
        <v>0</v>
      </c>
      <c r="BK45" s="275">
        <f t="shared" si="346"/>
        <v>0</v>
      </c>
    </row>
    <row r="46" spans="1:63">
      <c r="A46" s="96"/>
      <c r="B46" s="116" t="s">
        <v>131</v>
      </c>
      <c r="C46" s="116"/>
      <c r="D46" s="165">
        <f>C38-D45</f>
        <v>0</v>
      </c>
      <c r="E46" s="165">
        <f>IF(D46&gt;0,IF(D46&gt;E45,D46-E45,0),0)</f>
        <v>0</v>
      </c>
      <c r="F46" s="165">
        <f t="shared" ref="F46" si="347">IF(E46&gt;0,IF(E46&gt;F45,E46-F45,0),0)</f>
        <v>0</v>
      </c>
      <c r="G46" s="165">
        <f t="shared" ref="G46" si="348">IF(F46&gt;0,IF(F46&gt;G45,F46-G45,0),0)</f>
        <v>0</v>
      </c>
      <c r="H46" s="165">
        <f t="shared" ref="H46" si="349">IF(G46&gt;0,IF(G46&gt;H45,G46-H45,0),0)</f>
        <v>0</v>
      </c>
      <c r="I46" s="165">
        <f t="shared" ref="I46" si="350">IF(H46&gt;0,IF(H46&gt;I45,H46-I45,0),0)</f>
        <v>0</v>
      </c>
      <c r="J46" s="165">
        <f t="shared" ref="J46" si="351">IF(I46&gt;0,IF(I46&gt;J45,I46-J45,0),0)</f>
        <v>0</v>
      </c>
      <c r="K46" s="165">
        <f t="shared" ref="K46" si="352">IF(J46&gt;0,IF(J46&gt;K45,J46-K45,0),0)</f>
        <v>0</v>
      </c>
      <c r="L46" s="165">
        <f t="shared" ref="L46" si="353">IF(K46&gt;0,IF(K46&gt;L45,K46-L45,0),0)</f>
        <v>0</v>
      </c>
      <c r="M46" s="165">
        <f t="shared" ref="M46" si="354">IF(L46&gt;0,IF(L46&gt;M45,L46-M45,0),0)</f>
        <v>0</v>
      </c>
      <c r="N46" s="165">
        <f t="shared" ref="N46" si="355">IF(M46&gt;0,IF(M46&gt;N45,M46-N45,0),0)</f>
        <v>0</v>
      </c>
      <c r="O46" s="165">
        <f t="shared" ref="O46" si="356">IF(N46&gt;0,IF(N46&gt;O45,N46-O45,0),0)</f>
        <v>0</v>
      </c>
      <c r="P46" s="165">
        <f t="shared" ref="P46" si="357">IF(O46&gt;0,IF(O46&gt;P45,O46-P45,0),0)</f>
        <v>0</v>
      </c>
      <c r="Q46" s="165">
        <f t="shared" ref="Q46" si="358">IF(P46&gt;0,IF(P46&gt;Q45,P46-Q45,0),0)</f>
        <v>0</v>
      </c>
      <c r="R46" s="165">
        <f t="shared" ref="R46" si="359">IF(Q46&gt;0,IF(Q46&gt;R45,Q46-R45,0),0)</f>
        <v>0</v>
      </c>
      <c r="S46" s="165">
        <f t="shared" ref="S46" si="360">IF(R46&gt;0,IF(R46&gt;S45,R46-S45,0),0)</f>
        <v>0</v>
      </c>
      <c r="T46" s="165">
        <f t="shared" ref="T46" si="361">IF(S46&gt;0,IF(S46&gt;T45,S46-T45,0),0)</f>
        <v>0</v>
      </c>
      <c r="U46" s="165">
        <f t="shared" ref="U46" si="362">IF(T46&gt;0,IF(T46&gt;U45,T46-U45,0),0)</f>
        <v>0</v>
      </c>
      <c r="V46" s="165">
        <f t="shared" ref="V46" si="363">IF(U46&gt;0,IF(U46&gt;V45,U46-V45,0),0)</f>
        <v>0</v>
      </c>
      <c r="W46" s="165">
        <f t="shared" ref="W46" si="364">IF(V46&gt;0,IF(V46&gt;W45,V46-W45,0),0)</f>
        <v>0</v>
      </c>
      <c r="X46" s="165">
        <f t="shared" ref="X46" si="365">IF(W46&gt;0,IF(W46&gt;X45,W46-X45,0),0)</f>
        <v>0</v>
      </c>
      <c r="Y46" s="165">
        <f t="shared" ref="Y46" si="366">IF(X46&gt;0,IF(X46&gt;Y45,X46-Y45,0),0)</f>
        <v>0</v>
      </c>
      <c r="Z46" s="165">
        <f t="shared" ref="Z46" si="367">IF(Y46&gt;0,IF(Y46&gt;Z45,Y46-Z45,0),0)</f>
        <v>0</v>
      </c>
      <c r="AA46" s="165">
        <f t="shared" ref="AA46" si="368">IF(Z46&gt;0,IF(Z46&gt;AA45,Z46-AA45,0),0)</f>
        <v>0</v>
      </c>
      <c r="AB46" s="165">
        <f t="shared" ref="AB46" si="369">IF(AA46&gt;0,IF(AA46&gt;AB45,AA46-AB45,0),0)</f>
        <v>0</v>
      </c>
      <c r="AC46" s="165">
        <f t="shared" ref="AC46" si="370">IF(AB46&gt;0,IF(AB46&gt;AC45,AB46-AC45,0),0)</f>
        <v>0</v>
      </c>
      <c r="AD46" s="165">
        <f t="shared" ref="AD46" si="371">IF(AC46&gt;0,IF(AC46&gt;AD45,AC46-AD45,0),0)</f>
        <v>0</v>
      </c>
      <c r="AE46" s="165">
        <f t="shared" ref="AE46" si="372">IF(AD46&gt;0,IF(AD46&gt;AE45,AD46-AE45,0),0)</f>
        <v>0</v>
      </c>
      <c r="AF46" s="165">
        <f t="shared" ref="AF46" si="373">IF(AE46&gt;0,IF(AE46&gt;AF45,AE46-AF45,0),0)</f>
        <v>0</v>
      </c>
      <c r="AG46" s="165">
        <f t="shared" ref="AG46" si="374">IF(AF46&gt;0,IF(AF46&gt;AG45,AF46-AG45,0),0)</f>
        <v>0</v>
      </c>
      <c r="AH46" s="165">
        <f t="shared" ref="AH46" si="375">IF(AG46&gt;0,IF(AG46&gt;AH45,AG46-AH45,0),0)</f>
        <v>0</v>
      </c>
      <c r="AI46" s="165">
        <f t="shared" ref="AI46" si="376">IF(AH46&gt;0,IF(AH46&gt;AI45,AH46-AI45,0),0)</f>
        <v>0</v>
      </c>
      <c r="AJ46" s="165">
        <f t="shared" ref="AJ46" si="377">IF(AI46&gt;0,IF(AI46&gt;AJ45,AI46-AJ45,0),0)</f>
        <v>0</v>
      </c>
      <c r="AK46" s="165">
        <f t="shared" ref="AK46" si="378">IF(AJ46&gt;0,IF(AJ46&gt;AK45,AJ46-AK45,0),0)</f>
        <v>0</v>
      </c>
      <c r="AL46" s="165">
        <f t="shared" ref="AL46" si="379">IF(AK46&gt;0,IF(AK46&gt;AL45,AK46-AL45,0),0)</f>
        <v>0</v>
      </c>
      <c r="AM46" s="165">
        <f t="shared" ref="AM46" si="380">IF(AL46&gt;0,IF(AL46&gt;AM45,AL46-AM45,0),0)</f>
        <v>0</v>
      </c>
      <c r="AN46" s="165">
        <f t="shared" ref="AN46" si="381">IF(AM46&gt;0,IF(AM46&gt;AN45,AM46-AN45,0),0)</f>
        <v>0</v>
      </c>
      <c r="AO46" s="165">
        <f t="shared" ref="AO46" si="382">IF(AN46&gt;0,IF(AN46&gt;AO45,AN46-AO45,0),0)</f>
        <v>0</v>
      </c>
      <c r="AP46" s="165">
        <f t="shared" ref="AP46" si="383">IF(AO46&gt;0,IF(AO46&gt;AP45,AO46-AP45,0),0)</f>
        <v>0</v>
      </c>
      <c r="AQ46" s="165">
        <f t="shared" ref="AQ46" si="384">IF(AP46&gt;0,IF(AP46&gt;AQ45,AP46-AQ45,0),0)</f>
        <v>0</v>
      </c>
      <c r="AR46" s="165">
        <f t="shared" ref="AR46" si="385">IF(AQ46&gt;0,IF(AQ46&gt;AR45,AQ46-AR45,0),0)</f>
        <v>0</v>
      </c>
      <c r="AS46" s="165">
        <f t="shared" ref="AS46" si="386">IF(AR46&gt;0,IF(AR46&gt;AS45,AR46-AS45,0),0)</f>
        <v>0</v>
      </c>
      <c r="AT46" s="165">
        <f t="shared" ref="AT46" si="387">IF(AS46&gt;0,IF(AS46&gt;AT45,AS46-AT45,0),0)</f>
        <v>0</v>
      </c>
      <c r="AU46" s="165">
        <f t="shared" ref="AU46" si="388">IF(AT46&gt;0,IF(AT46&gt;AU45,AT46-AU45,0),0)</f>
        <v>0</v>
      </c>
      <c r="AV46" s="165">
        <f t="shared" ref="AV46" si="389">IF(AU46&gt;0,IF(AU46&gt;AV45,AU46-AV45,0),0)</f>
        <v>0</v>
      </c>
      <c r="AW46" s="165">
        <f t="shared" ref="AW46" si="390">IF(AV46&gt;0,IF(AV46&gt;AW45,AV46-AW45,0),0)</f>
        <v>0</v>
      </c>
      <c r="AX46" s="165">
        <f t="shared" ref="AX46" si="391">IF(AW46&gt;0,IF(AW46&gt;AX45,AW46-AX45,0),0)</f>
        <v>0</v>
      </c>
      <c r="AY46" s="165">
        <f t="shared" ref="AY46" si="392">IF(AX46&gt;0,IF(AX46&gt;AY45,AX46-AY45,0),0)</f>
        <v>0</v>
      </c>
      <c r="AZ46" s="165">
        <f t="shared" ref="AZ46" si="393">IF(AY46&gt;0,IF(AY46&gt;AZ45,AY46-AZ45,0),0)</f>
        <v>0</v>
      </c>
      <c r="BA46" s="165">
        <f t="shared" ref="BA46" si="394">IF(AZ46&gt;0,IF(AZ46&gt;BA45,AZ46-BA45,0),0)</f>
        <v>0</v>
      </c>
      <c r="BB46" s="165">
        <f t="shared" ref="BB46" si="395">IF(BA46&gt;0,IF(BA46&gt;BB45,BA46-BB45,0),0)</f>
        <v>0</v>
      </c>
      <c r="BC46" s="165">
        <f t="shared" ref="BC46" si="396">IF(BB46&gt;0,IF(BB46&gt;BC45,BB46-BC45,0),0)</f>
        <v>0</v>
      </c>
      <c r="BD46" s="165">
        <f t="shared" ref="BD46" si="397">IF(BC46&gt;0,IF(BC46&gt;BD45,BC46-BD45,0),0)</f>
        <v>0</v>
      </c>
      <c r="BE46" s="165">
        <f t="shared" ref="BE46" si="398">IF(BD46&gt;0,IF(BD46&gt;BE45,BD46-BE45,0),0)</f>
        <v>0</v>
      </c>
      <c r="BF46" s="165">
        <f t="shared" ref="BF46" si="399">IF(BE46&gt;0,IF(BE46&gt;BF45,BE46-BF45,0),0)</f>
        <v>0</v>
      </c>
      <c r="BG46" s="165">
        <f t="shared" ref="BG46" si="400">IF(BF46&gt;0,IF(BF46&gt;BG45,BF46-BG45,0),0)</f>
        <v>0</v>
      </c>
      <c r="BH46" s="165">
        <f t="shared" ref="BH46" si="401">IF(BG46&gt;0,IF(BG46&gt;BH45,BG46-BH45,0),0)</f>
        <v>0</v>
      </c>
      <c r="BI46" s="165">
        <f t="shared" ref="BI46" si="402">IF(BH46&gt;0,IF(BH46&gt;BI45,BH46-BI45,0),0)</f>
        <v>0</v>
      </c>
      <c r="BJ46" s="165">
        <f t="shared" ref="BJ46" si="403">IF(BI46&gt;0,IF(BI46&gt;BJ45,BI46-BJ45,0),0)</f>
        <v>0</v>
      </c>
      <c r="BK46" s="165">
        <f t="shared" ref="BK46" si="404">IF(BJ46&gt;0,IF(BJ46&gt;BK45,BJ46-BK45,0),0)</f>
        <v>0</v>
      </c>
    </row>
    <row r="47" spans="1:63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</row>
    <row r="48" spans="1:63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</row>
    <row r="49" spans="4:63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</row>
    <row r="50" spans="4:63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</row>
    <row r="51" spans="4:63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4:63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spans="4:63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spans="4:63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spans="4:63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spans="4:63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4:63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4:63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4:63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4:63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4:63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4:63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spans="4:63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spans="4:63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spans="4:63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spans="4:63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4:63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  <row r="68" spans="4:63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</row>
    <row r="69" spans="4:63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</row>
    <row r="70" spans="4:63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</row>
    <row r="71" spans="4:63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</row>
    <row r="72" spans="4:63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</row>
    <row r="73" spans="4:63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</row>
    <row r="74" spans="4:63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</row>
    <row r="75" spans="4:63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</row>
    <row r="76" spans="4:63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spans="4:63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spans="4:63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spans="4:63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</sheetData>
  <dataConsolidate/>
  <mergeCells count="5">
    <mergeCell ref="D2:O2"/>
    <mergeCell ref="P2:AA2"/>
    <mergeCell ref="AB2:AM2"/>
    <mergeCell ref="AN2:AY2"/>
    <mergeCell ref="AZ2:B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0DE7-4C4A-D24F-B3EB-9AFFFA42322E}">
  <sheetPr>
    <tabColor theme="9"/>
  </sheetPr>
  <dimension ref="A1:AG54"/>
  <sheetViews>
    <sheetView showGridLines="0" zoomScaleNormal="100" workbookViewId="0"/>
  </sheetViews>
  <sheetFormatPr baseColWidth="10" defaultColWidth="11.5" defaultRowHeight="13"/>
  <cols>
    <col min="1" max="1" width="20.83203125" customWidth="1"/>
    <col min="2" max="2" width="9.83203125" bestFit="1" customWidth="1"/>
    <col min="3" max="4" width="9.33203125" customWidth="1"/>
    <col min="5" max="7" width="9.83203125" bestFit="1" customWidth="1"/>
    <col min="8" max="8" width="10" customWidth="1"/>
    <col min="9" max="9" width="10.5" customWidth="1"/>
    <col min="10" max="10" width="10.83203125" customWidth="1"/>
    <col min="11" max="14" width="9.83203125" bestFit="1" customWidth="1"/>
    <col min="15" max="15" width="9.83203125" customWidth="1"/>
    <col min="16" max="16" width="9.33203125" customWidth="1"/>
    <col min="17" max="21" width="9.83203125" bestFit="1" customWidth="1"/>
  </cols>
  <sheetData>
    <row r="1" spans="1:33" ht="14" customHeight="1">
      <c r="A1" s="290" t="s">
        <v>190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" customHeight="1">
      <c r="A2" s="292"/>
      <c r="B2" s="292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  <c r="Q2" s="294"/>
      <c r="R2" s="294"/>
      <c r="S2" s="294"/>
      <c r="T2" s="294"/>
      <c r="U2" s="294"/>
      <c r="V2" s="294"/>
      <c r="W2" s="294"/>
      <c r="X2" s="295"/>
      <c r="Y2" s="295"/>
      <c r="Z2" s="295"/>
      <c r="AA2" s="295"/>
      <c r="AB2" s="295"/>
      <c r="AC2" s="295"/>
      <c r="AD2" s="295"/>
      <c r="AE2" s="295"/>
      <c r="AF2" s="295"/>
      <c r="AG2" s="295"/>
    </row>
    <row r="3" spans="1:33" ht="14" customHeight="1">
      <c r="A3" s="448" t="s">
        <v>203</v>
      </c>
      <c r="B3" s="449"/>
      <c r="C3" s="298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  <c r="P3" s="294"/>
      <c r="Q3" s="294"/>
      <c r="R3" s="294"/>
      <c r="S3" s="294"/>
      <c r="T3" s="294"/>
      <c r="U3" s="294"/>
      <c r="V3" s="294"/>
      <c r="W3" s="294"/>
      <c r="X3" s="295"/>
      <c r="Y3" s="295"/>
      <c r="Z3" s="295"/>
      <c r="AA3" s="295"/>
      <c r="AB3" s="295"/>
      <c r="AC3" s="295"/>
      <c r="AD3" s="295"/>
      <c r="AE3" s="295"/>
      <c r="AF3" s="295"/>
      <c r="AG3" s="295"/>
    </row>
    <row r="4" spans="1:33" ht="14" customHeight="1">
      <c r="A4" s="450" t="s">
        <v>204</v>
      </c>
      <c r="B4" s="297">
        <f>'9) WACC'!C19</f>
        <v>0.25</v>
      </c>
      <c r="C4" s="298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  <c r="P4" s="294"/>
      <c r="Q4" s="294"/>
      <c r="R4" s="294"/>
      <c r="S4" s="294"/>
      <c r="T4" s="294"/>
      <c r="U4" s="294"/>
      <c r="V4" s="294"/>
      <c r="W4" s="294"/>
      <c r="X4" s="295"/>
      <c r="Y4" s="295"/>
      <c r="Z4" s="295"/>
      <c r="AA4" s="295"/>
      <c r="AB4" s="295"/>
      <c r="AC4" s="295"/>
      <c r="AD4" s="295"/>
      <c r="AE4" s="295"/>
      <c r="AF4" s="295"/>
      <c r="AG4" s="295"/>
    </row>
    <row r="5" spans="1:33" ht="14" customHeight="1">
      <c r="A5" s="450" t="s">
        <v>205</v>
      </c>
      <c r="B5" s="338">
        <v>2.5000000000000001E-2</v>
      </c>
      <c r="C5" s="298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4"/>
      <c r="P5" s="294"/>
      <c r="Q5" s="294"/>
      <c r="R5" s="294"/>
      <c r="S5" s="294"/>
      <c r="T5" s="294"/>
      <c r="U5" s="294"/>
      <c r="V5" s="294"/>
      <c r="W5" s="294"/>
      <c r="X5" s="295"/>
      <c r="Y5" s="295"/>
      <c r="Z5" s="295"/>
      <c r="AA5" s="295"/>
      <c r="AB5" s="295"/>
      <c r="AC5" s="295"/>
      <c r="AD5" s="295"/>
      <c r="AE5" s="295"/>
      <c r="AF5" s="295"/>
      <c r="AG5" s="295"/>
    </row>
    <row r="6" spans="1:33" ht="14" customHeight="1">
      <c r="A6" s="450" t="s">
        <v>206</v>
      </c>
      <c r="B6" s="299">
        <v>0.02</v>
      </c>
      <c r="C6" s="298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4"/>
      <c r="P6" s="294"/>
      <c r="Q6" s="294"/>
      <c r="R6" s="294"/>
      <c r="S6" s="294"/>
      <c r="T6" s="294"/>
      <c r="U6" s="294"/>
      <c r="V6" s="294"/>
      <c r="W6" s="294"/>
      <c r="X6" s="295"/>
      <c r="Y6" s="295"/>
      <c r="Z6" s="295"/>
      <c r="AA6" s="295"/>
      <c r="AB6" s="295"/>
      <c r="AC6" s="295"/>
      <c r="AD6" s="295"/>
      <c r="AE6" s="295"/>
      <c r="AF6" s="295"/>
      <c r="AG6" s="295"/>
    </row>
    <row r="7" spans="1:33" ht="14" customHeight="1">
      <c r="A7" s="450" t="s">
        <v>207</v>
      </c>
      <c r="B7" s="299">
        <v>5.0000000000000001E-3</v>
      </c>
      <c r="C7" s="464"/>
      <c r="D7" s="292"/>
      <c r="E7" s="292"/>
      <c r="F7" s="292"/>
      <c r="G7" s="292"/>
      <c r="H7" s="292"/>
      <c r="I7" s="293"/>
      <c r="J7" s="293"/>
      <c r="K7" s="293"/>
      <c r="L7" s="293"/>
      <c r="M7" s="293"/>
      <c r="N7" s="293"/>
      <c r="O7" s="294"/>
      <c r="P7" s="294"/>
      <c r="Q7" s="294"/>
      <c r="R7" s="294"/>
      <c r="S7" s="294"/>
      <c r="T7" s="294"/>
      <c r="U7" s="294"/>
      <c r="V7" s="294"/>
      <c r="W7" s="294"/>
      <c r="X7" s="295"/>
      <c r="Y7" s="295"/>
      <c r="Z7" s="295"/>
      <c r="AA7" s="295"/>
      <c r="AB7" s="295"/>
      <c r="AC7" s="295"/>
      <c r="AD7" s="295"/>
      <c r="AE7" s="295"/>
      <c r="AF7" s="295"/>
      <c r="AG7" s="295"/>
    </row>
    <row r="8" spans="1:33" ht="14" customHeight="1">
      <c r="A8" s="322"/>
      <c r="C8" s="323"/>
      <c r="D8" s="323"/>
      <c r="E8" s="323"/>
      <c r="F8" s="323"/>
      <c r="G8" s="323"/>
      <c r="H8" s="323"/>
      <c r="I8" s="323"/>
      <c r="J8" s="464"/>
      <c r="K8" s="292"/>
      <c r="L8" s="292"/>
      <c r="M8" s="292"/>
      <c r="N8" s="292"/>
      <c r="O8" s="301"/>
      <c r="P8" s="294"/>
      <c r="Q8" s="294"/>
      <c r="R8" s="294"/>
      <c r="S8" s="294"/>
      <c r="T8" s="294"/>
      <c r="U8" s="294"/>
      <c r="V8" s="294"/>
      <c r="W8" s="294"/>
      <c r="X8" s="295"/>
      <c r="Y8" s="295"/>
      <c r="Z8" s="295"/>
      <c r="AA8" s="295"/>
      <c r="AB8" s="295"/>
      <c r="AC8" s="295"/>
      <c r="AD8" s="295"/>
      <c r="AE8" s="295"/>
      <c r="AF8" s="295"/>
      <c r="AG8" s="295"/>
    </row>
    <row r="9" spans="1:33" ht="14" customHeight="1">
      <c r="A9" s="448" t="s">
        <v>208</v>
      </c>
      <c r="B9" s="448"/>
      <c r="C9" s="449"/>
      <c r="D9" s="449"/>
      <c r="E9" s="452">
        <f>'Financial Highlights'!B2</f>
        <v>45261</v>
      </c>
      <c r="F9" s="452">
        <f>'Financial Highlights'!C2</f>
        <v>45627</v>
      </c>
      <c r="G9" s="452">
        <f>'Financial Highlights'!D2</f>
        <v>45992</v>
      </c>
      <c r="H9" s="452">
        <f>'Financial Highlights'!E2</f>
        <v>46357</v>
      </c>
      <c r="I9" s="452">
        <f>'Financial Highlights'!F2</f>
        <v>46722</v>
      </c>
      <c r="J9" s="452" t="s">
        <v>280</v>
      </c>
      <c r="K9" s="302"/>
      <c r="L9" s="302"/>
      <c r="M9" s="302"/>
      <c r="N9" s="302"/>
      <c r="O9" s="302"/>
      <c r="P9" s="303"/>
      <c r="Q9" s="294"/>
      <c r="R9" s="294"/>
      <c r="S9" s="294"/>
      <c r="T9" s="294"/>
      <c r="U9" s="294"/>
      <c r="V9" s="294"/>
      <c r="W9" s="294"/>
      <c r="X9" s="295"/>
      <c r="Y9" s="295"/>
      <c r="Z9" s="295"/>
      <c r="AA9" s="295"/>
      <c r="AB9" s="295"/>
      <c r="AC9" s="295"/>
      <c r="AD9" s="295"/>
      <c r="AE9" s="295"/>
      <c r="AF9" s="295"/>
      <c r="AG9" s="295"/>
    </row>
    <row r="10" spans="1:33" ht="14">
      <c r="A10" s="305" t="s">
        <v>29</v>
      </c>
      <c r="B10" s="305"/>
      <c r="C10" s="305"/>
      <c r="D10" s="306"/>
      <c r="E10" s="307">
        <f>'Income Statement'!C5</f>
        <v>8290677.5941595696</v>
      </c>
      <c r="F10" s="307">
        <f>'Income Statement'!D5</f>
        <v>19746566.755876143</v>
      </c>
      <c r="G10" s="307">
        <f>'Income Statement'!E5</f>
        <v>47031969.849962562</v>
      </c>
      <c r="H10" s="307">
        <f>'Income Statement'!F5</f>
        <v>112019786.29067466</v>
      </c>
      <c r="I10" s="307">
        <f>'Income Statement'!G5</f>
        <v>266806441.67444789</v>
      </c>
      <c r="J10" s="456">
        <f>SUM(E10:I10)</f>
        <v>453895442.16512084</v>
      </c>
      <c r="K10" s="307"/>
      <c r="L10" s="307"/>
      <c r="M10" s="307"/>
      <c r="N10" s="307"/>
      <c r="O10" s="307"/>
      <c r="P10" s="308"/>
      <c r="Q10" s="309"/>
      <c r="R10" s="309"/>
      <c r="S10" s="309"/>
      <c r="T10" s="309"/>
      <c r="U10" s="309"/>
      <c r="V10" s="309"/>
      <c r="W10" s="309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</row>
    <row r="11" spans="1:33" ht="14">
      <c r="A11" s="305" t="s">
        <v>58</v>
      </c>
      <c r="B11" s="305"/>
      <c r="C11" s="305"/>
      <c r="D11" s="306"/>
      <c r="E11" s="307">
        <f>'Income Statement'!C26</f>
        <v>1251609.8347436129</v>
      </c>
      <c r="F11" s="307">
        <f>'Income Statement'!D26</f>
        <v>7144410.0802885313</v>
      </c>
      <c r="G11" s="307">
        <f>'Income Statement'!E26</f>
        <v>23389397.864966303</v>
      </c>
      <c r="H11" s="307">
        <f>'Income Statement'!F26</f>
        <v>65964838.911607213</v>
      </c>
      <c r="I11" s="307">
        <f>'Income Statement'!G26</f>
        <v>174431774.0695031</v>
      </c>
      <c r="J11" s="456">
        <f t="shared" ref="J11:J12" si="0">SUM(E11:I11)</f>
        <v>272182030.76110876</v>
      </c>
      <c r="K11" s="307"/>
      <c r="L11" s="307"/>
      <c r="M11" s="307"/>
      <c r="N11" s="307"/>
      <c r="O11" s="307"/>
      <c r="P11" s="308"/>
      <c r="Q11" s="309"/>
      <c r="R11" s="309"/>
      <c r="S11" s="309"/>
      <c r="T11" s="309"/>
      <c r="U11" s="309"/>
      <c r="V11" s="309"/>
      <c r="W11" s="309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</row>
    <row r="12" spans="1:33" ht="14">
      <c r="A12" s="305" t="s">
        <v>208</v>
      </c>
      <c r="B12" s="305"/>
      <c r="C12" s="305"/>
      <c r="D12" s="306"/>
      <c r="E12" s="307">
        <f>'Cash Flow'!C25</f>
        <v>5681061.6970071578</v>
      </c>
      <c r="F12" s="307">
        <f>'Cash Flow'!D25</f>
        <v>5011706.7846671874</v>
      </c>
      <c r="G12" s="307">
        <f>'Cash Flow'!E25</f>
        <v>16039000.910742853</v>
      </c>
      <c r="H12" s="307">
        <f>'Cash Flow'!F25</f>
        <v>45089270.71786578</v>
      </c>
      <c r="I12" s="307">
        <f>'Cash Flow'!G25</f>
        <v>119549353.05372961</v>
      </c>
      <c r="J12" s="456">
        <f t="shared" si="0"/>
        <v>191370393.16401261</v>
      </c>
      <c r="K12" s="316"/>
      <c r="L12" s="307"/>
      <c r="M12" s="307"/>
      <c r="N12" s="307"/>
      <c r="O12" s="307"/>
      <c r="P12" s="317"/>
      <c r="Q12" s="318"/>
      <c r="R12" s="318"/>
      <c r="S12" s="318"/>
      <c r="T12" s="318"/>
      <c r="U12" s="318"/>
      <c r="V12" s="318"/>
      <c r="W12" s="318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</row>
    <row r="13" spans="1:33" ht="14">
      <c r="A13" s="311" t="s">
        <v>278</v>
      </c>
      <c r="B13" s="311"/>
      <c r="C13" s="311"/>
      <c r="D13" s="312"/>
      <c r="E13" s="313">
        <f t="shared" ref="E13:J14" si="1">IFERROR(E11/E$10,)</f>
        <v>0.1509659277578613</v>
      </c>
      <c r="F13" s="313">
        <f t="shared" si="1"/>
        <v>0.36180517700184578</v>
      </c>
      <c r="G13" s="313">
        <f t="shared" si="1"/>
        <v>0.49730848908904296</v>
      </c>
      <c r="H13" s="313">
        <f t="shared" si="1"/>
        <v>0.58886774467180547</v>
      </c>
      <c r="I13" s="313">
        <f t="shared" si="1"/>
        <v>0.65377647171780584</v>
      </c>
      <c r="J13" s="483">
        <f t="shared" si="1"/>
        <v>0.59965799493992877</v>
      </c>
      <c r="K13" s="313"/>
      <c r="L13" s="313"/>
      <c r="M13" s="313"/>
      <c r="N13" s="313"/>
      <c r="O13" s="313"/>
      <c r="P13" s="314"/>
      <c r="Q13" s="315"/>
      <c r="R13" s="315"/>
      <c r="S13" s="315"/>
      <c r="T13" s="315"/>
      <c r="U13" s="315"/>
      <c r="V13" s="315"/>
      <c r="W13" s="315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</row>
    <row r="14" spans="1:33" ht="14">
      <c r="A14" s="311" t="s">
        <v>277</v>
      </c>
      <c r="B14" s="311"/>
      <c r="C14" s="311"/>
      <c r="D14" s="312"/>
      <c r="E14" s="313">
        <f t="shared" si="1"/>
        <v>0.6852349078209512</v>
      </c>
      <c r="F14" s="313">
        <f t="shared" si="1"/>
        <v>0.25380142516044285</v>
      </c>
      <c r="G14" s="313">
        <f t="shared" si="1"/>
        <v>0.3410233711645318</v>
      </c>
      <c r="H14" s="313">
        <f t="shared" si="1"/>
        <v>0.40251166522372966</v>
      </c>
      <c r="I14" s="313">
        <f t="shared" si="1"/>
        <v>0.44807521251530141</v>
      </c>
      <c r="J14" s="483">
        <f t="shared" si="1"/>
        <v>0.42161778988385329</v>
      </c>
      <c r="K14" s="313"/>
      <c r="L14" s="313"/>
      <c r="M14" s="313"/>
      <c r="N14" s="313"/>
      <c r="O14" s="313"/>
      <c r="P14" s="319"/>
      <c r="Q14" s="320"/>
      <c r="R14" s="320"/>
      <c r="S14" s="320"/>
      <c r="T14" s="320"/>
      <c r="U14" s="320"/>
      <c r="V14" s="320"/>
      <c r="W14" s="32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</row>
    <row r="15" spans="1:33" ht="14">
      <c r="A15" s="322"/>
      <c r="C15" s="322"/>
      <c r="D15" s="465"/>
      <c r="E15" s="465"/>
      <c r="F15" s="465"/>
      <c r="G15" s="465"/>
      <c r="H15" s="465"/>
      <c r="I15" s="465"/>
      <c r="J15" s="321"/>
      <c r="K15" s="321"/>
      <c r="L15" s="321"/>
      <c r="M15" s="321"/>
      <c r="N15" s="321"/>
      <c r="O15" s="304"/>
      <c r="P15" s="303"/>
      <c r="Q15" s="294"/>
      <c r="R15" s="294"/>
      <c r="S15" s="294"/>
      <c r="T15" s="294"/>
      <c r="U15" s="294"/>
      <c r="V15" s="294"/>
      <c r="W15" s="294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</row>
    <row r="16" spans="1:33" ht="15">
      <c r="A16" s="448" t="s">
        <v>279</v>
      </c>
      <c r="B16" s="448"/>
      <c r="C16" s="449"/>
      <c r="D16" s="449"/>
      <c r="E16" s="452">
        <f>E9</f>
        <v>45261</v>
      </c>
      <c r="F16" s="452">
        <f t="shared" ref="F16:I16" si="2">F9</f>
        <v>45627</v>
      </c>
      <c r="G16" s="452">
        <f t="shared" si="2"/>
        <v>45992</v>
      </c>
      <c r="H16" s="452">
        <f t="shared" si="2"/>
        <v>46357</v>
      </c>
      <c r="I16" s="452">
        <f t="shared" si="2"/>
        <v>46722</v>
      </c>
      <c r="J16" s="452" t="s">
        <v>280</v>
      </c>
      <c r="K16" s="302"/>
      <c r="L16" s="302"/>
      <c r="M16" s="302"/>
      <c r="N16" s="302"/>
      <c r="O16" s="302"/>
      <c r="P16" s="303"/>
      <c r="Q16" s="294"/>
      <c r="R16" s="294"/>
      <c r="S16" s="294"/>
      <c r="T16" s="294"/>
      <c r="U16" s="294"/>
      <c r="V16" s="294"/>
      <c r="W16" s="294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</row>
    <row r="17" spans="1:33" ht="14">
      <c r="A17" s="450" t="s">
        <v>209</v>
      </c>
      <c r="B17" s="450"/>
      <c r="C17" s="450"/>
      <c r="D17" s="451"/>
      <c r="E17" s="325">
        <v>1</v>
      </c>
      <c r="F17" s="326">
        <f t="shared" ref="F17:I17" si="3">E17+1</f>
        <v>2</v>
      </c>
      <c r="G17" s="326">
        <f t="shared" si="3"/>
        <v>3</v>
      </c>
      <c r="H17" s="326">
        <f t="shared" si="3"/>
        <v>4</v>
      </c>
      <c r="I17" s="326">
        <f t="shared" si="3"/>
        <v>5</v>
      </c>
      <c r="J17" s="327"/>
      <c r="K17" s="327"/>
      <c r="L17" s="327"/>
      <c r="M17" s="327"/>
      <c r="N17" s="327"/>
      <c r="O17" s="327"/>
      <c r="P17" s="303"/>
      <c r="Q17" s="294"/>
      <c r="R17" s="294"/>
      <c r="S17" s="294"/>
      <c r="T17" s="294"/>
      <c r="U17" s="294"/>
      <c r="V17" s="294"/>
      <c r="W17" s="294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</row>
    <row r="18" spans="1:33" ht="14">
      <c r="A18" s="450" t="s">
        <v>279</v>
      </c>
      <c r="B18" s="450"/>
      <c r="C18" s="450"/>
      <c r="D18" s="451"/>
      <c r="E18" s="453"/>
      <c r="F18" s="454"/>
      <c r="G18" s="454"/>
      <c r="H18" s="454"/>
      <c r="I18" s="454"/>
      <c r="J18" s="455"/>
      <c r="K18" s="327"/>
      <c r="L18" s="327"/>
      <c r="M18" s="327"/>
      <c r="N18" s="327"/>
      <c r="O18" s="327"/>
      <c r="P18" s="303"/>
      <c r="Q18" s="294"/>
      <c r="R18" s="294"/>
      <c r="S18" s="294"/>
      <c r="T18" s="294"/>
      <c r="U18" s="294"/>
      <c r="V18" s="294"/>
      <c r="W18" s="294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</row>
    <row r="19" spans="1:33" ht="14">
      <c r="A19" s="10"/>
      <c r="C19" s="558" t="s">
        <v>217</v>
      </c>
      <c r="D19" s="484">
        <f>D20-B5</f>
        <v>0.2</v>
      </c>
      <c r="E19" s="329">
        <f>E12/(1+$D19)^E$17</f>
        <v>4734218.0808392987</v>
      </c>
      <c r="F19" s="329">
        <f>F12/(1+$D19)^F$17</f>
        <v>3480351.9337966582</v>
      </c>
      <c r="G19" s="329">
        <f>G12/(1+$D19)^G$17</f>
        <v>9281829.2307539657</v>
      </c>
      <c r="H19" s="329">
        <f>H12/(1+$D19)^H$17</f>
        <v>21744439.968106568</v>
      </c>
      <c r="I19" s="329">
        <f>I12/(1+$D19)^I$17</f>
        <v>48044203.741371535</v>
      </c>
      <c r="J19" s="456">
        <f>SUM(E19:I19)</f>
        <v>87285042.954868019</v>
      </c>
      <c r="K19" s="330"/>
      <c r="L19" s="330"/>
      <c r="M19" s="330"/>
      <c r="N19" s="330"/>
      <c r="O19" s="330"/>
      <c r="P19" s="303"/>
      <c r="Q19" s="294"/>
      <c r="R19" s="294"/>
      <c r="S19" s="294"/>
      <c r="T19" s="294"/>
      <c r="U19" s="294"/>
      <c r="V19" s="294"/>
      <c r="W19" s="294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</row>
    <row r="20" spans="1:33" ht="14">
      <c r="A20" s="10"/>
      <c r="C20" s="558"/>
      <c r="D20" s="484">
        <f>D21-B5</f>
        <v>0.22500000000000001</v>
      </c>
      <c r="E20" s="329">
        <f>E12/(1+$D20)^E$17</f>
        <v>4637601.3853119649</v>
      </c>
      <c r="F20" s="329">
        <f>F12/(1+$D20)^F$17</f>
        <v>3339746.2954883375</v>
      </c>
      <c r="G20" s="329">
        <f>G12/(1+$D20)^G$17</f>
        <v>8725072.5317473356</v>
      </c>
      <c r="H20" s="329">
        <f>H12/(1+$D20)^H$17</f>
        <v>20022986.576247185</v>
      </c>
      <c r="I20" s="329">
        <f>I12/(1+$D20)^I$17</f>
        <v>43337792.589048773</v>
      </c>
      <c r="J20" s="456">
        <f t="shared" ref="J20:J23" si="4">SUM(E20:I20)</f>
        <v>80063199.377843589</v>
      </c>
      <c r="K20" s="330"/>
      <c r="L20" s="330"/>
      <c r="M20" s="330"/>
      <c r="N20" s="330"/>
      <c r="O20" s="330"/>
      <c r="P20" s="303"/>
      <c r="Q20" s="294"/>
      <c r="R20" s="294"/>
      <c r="S20" s="294"/>
      <c r="T20" s="294"/>
      <c r="U20" s="294"/>
      <c r="V20" s="294"/>
      <c r="W20" s="294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</row>
    <row r="21" spans="1:33" ht="14">
      <c r="A21" s="10"/>
      <c r="C21" s="558"/>
      <c r="D21" s="484">
        <f>B4</f>
        <v>0.25</v>
      </c>
      <c r="E21" s="329">
        <f>E12/(1+$D21)^E$17</f>
        <v>4544849.3576057265</v>
      </c>
      <c r="F21" s="329">
        <f>F12/(1+$D21)^F$17</f>
        <v>3207492.342187</v>
      </c>
      <c r="G21" s="329">
        <f>G12/(1+$D21)^G$17</f>
        <v>8211968.4663003404</v>
      </c>
      <c r="H21" s="329">
        <f>H12/(1+$D21)^H$17</f>
        <v>18468565.286037825</v>
      </c>
      <c r="I21" s="329">
        <f>I12/(1+$D21)^I$17</f>
        <v>39173932.008646116</v>
      </c>
      <c r="J21" s="456">
        <f t="shared" si="4"/>
        <v>73606807.460777014</v>
      </c>
      <c r="K21" s="330"/>
      <c r="L21" s="330"/>
      <c r="M21" s="330"/>
      <c r="N21" s="330"/>
      <c r="O21" s="330"/>
      <c r="P21" s="303"/>
      <c r="Q21" s="294"/>
      <c r="R21" s="294"/>
      <c r="S21" s="294"/>
      <c r="T21" s="294"/>
      <c r="U21" s="294"/>
      <c r="V21" s="294"/>
      <c r="W21" s="294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</row>
    <row r="22" spans="1:33" ht="14">
      <c r="A22" s="10"/>
      <c r="C22" s="558"/>
      <c r="D22" s="484">
        <f>D21+B5</f>
        <v>0.27500000000000002</v>
      </c>
      <c r="E22" s="329">
        <f>E12/(1+$D22)^E$17</f>
        <v>4455734.6643193401</v>
      </c>
      <c r="F22" s="329">
        <f>F12/(1+$D22)^F$17</f>
        <v>3082941.5053700502</v>
      </c>
      <c r="G22" s="329">
        <f>G12/(1+$D22)^G$17</f>
        <v>7738321.296390851</v>
      </c>
      <c r="H22" s="329">
        <f>H12/(1+$D22)^H$17</f>
        <v>17062099.564778108</v>
      </c>
      <c r="I22" s="329">
        <f>I12/(1+$D22)^I$17</f>
        <v>35481037.16241312</v>
      </c>
      <c r="J22" s="456">
        <f t="shared" si="4"/>
        <v>67820134.193271473</v>
      </c>
      <c r="K22" s="330"/>
      <c r="L22" s="330"/>
      <c r="M22" s="330"/>
      <c r="N22" s="330"/>
      <c r="O22" s="330"/>
      <c r="P22" s="303"/>
      <c r="Q22" s="294"/>
      <c r="R22" s="294"/>
      <c r="S22" s="294"/>
      <c r="T22" s="294"/>
      <c r="U22" s="294"/>
      <c r="V22" s="294"/>
      <c r="W22" s="294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</row>
    <row r="23" spans="1:33" ht="14">
      <c r="A23" s="10"/>
      <c r="C23" s="558"/>
      <c r="D23" s="484">
        <f>D22+B5</f>
        <v>0.30000000000000004</v>
      </c>
      <c r="E23" s="329">
        <f>E12/(1+$D23)^E$17</f>
        <v>4370047.4592362754</v>
      </c>
      <c r="F23" s="329">
        <f>F12/(1+$D23)^F$17</f>
        <v>2965506.9731758502</v>
      </c>
      <c r="G23" s="329">
        <f>G12/(1+$D23)^G$17</f>
        <v>7300410.0640613791</v>
      </c>
      <c r="H23" s="329">
        <f>H12/(1+$D23)^H$17</f>
        <v>15787007.008811235</v>
      </c>
      <c r="I23" s="329">
        <f>I12/(1+$D23)^I$17</f>
        <v>32198116.596254058</v>
      </c>
      <c r="J23" s="456">
        <f t="shared" si="4"/>
        <v>62621088.1015388</v>
      </c>
      <c r="K23" s="330"/>
      <c r="L23" s="330"/>
      <c r="M23" s="330"/>
      <c r="N23" s="330"/>
      <c r="O23" s="330"/>
      <c r="P23" s="303"/>
      <c r="Q23" s="294"/>
      <c r="R23" s="294"/>
      <c r="S23" s="294"/>
      <c r="T23" s="294"/>
      <c r="U23" s="294"/>
      <c r="V23" s="294"/>
      <c r="W23" s="294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</row>
    <row r="24" spans="1:33">
      <c r="A24" s="323"/>
      <c r="B24" s="323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8"/>
      <c r="P24" s="303"/>
      <c r="Q24" s="294"/>
      <c r="R24" s="294"/>
      <c r="S24" s="294"/>
      <c r="T24" s="294"/>
      <c r="U24" s="294"/>
      <c r="V24" s="294"/>
      <c r="W24" s="294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</row>
    <row r="25" spans="1:33" ht="14">
      <c r="A25" s="448" t="s">
        <v>211</v>
      </c>
      <c r="B25" s="449"/>
      <c r="C25" s="449"/>
      <c r="D25" s="449"/>
      <c r="E25" s="449"/>
      <c r="F25" s="449"/>
      <c r="G25" s="449"/>
      <c r="H25" s="490"/>
      <c r="I25" s="490"/>
      <c r="J25" s="490"/>
      <c r="K25" s="490"/>
      <c r="L25" s="490"/>
      <c r="M25" s="490"/>
      <c r="N25" s="480"/>
      <c r="O25" s="480"/>
      <c r="P25" s="480"/>
      <c r="Q25" s="480"/>
      <c r="R25" s="480"/>
      <c r="S25" s="480"/>
      <c r="T25" s="318"/>
      <c r="U25" s="318"/>
      <c r="V25" s="318"/>
      <c r="W25" s="318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</row>
    <row r="26" spans="1:33" ht="14">
      <c r="A26" s="322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31"/>
      <c r="O26" s="27"/>
      <c r="P26" s="317"/>
      <c r="Q26" s="318"/>
      <c r="R26" s="318"/>
      <c r="S26" s="318"/>
      <c r="T26" s="318"/>
      <c r="U26" s="318"/>
      <c r="V26" s="318"/>
      <c r="W26" s="318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</row>
    <row r="27" spans="1:33" ht="14">
      <c r="A27" s="450" t="s">
        <v>212</v>
      </c>
      <c r="B27" s="491">
        <f>I11</f>
        <v>174431774.0695031</v>
      </c>
      <c r="C27" s="560" t="s">
        <v>213</v>
      </c>
      <c r="D27" s="561"/>
      <c r="E27" s="561"/>
      <c r="F27" s="561"/>
      <c r="G27" s="562"/>
      <c r="H27" s="332"/>
      <c r="I27" s="563" t="s">
        <v>218</v>
      </c>
      <c r="J27" s="564"/>
      <c r="K27" s="564"/>
      <c r="L27" s="564"/>
      <c r="M27" s="568"/>
      <c r="N27" s="331"/>
      <c r="O27" s="563" t="s">
        <v>214</v>
      </c>
      <c r="P27" s="564"/>
      <c r="Q27" s="564"/>
      <c r="R27" s="564"/>
      <c r="S27" s="564"/>
      <c r="T27" s="318"/>
      <c r="U27" s="318"/>
      <c r="V27" s="318"/>
      <c r="W27" s="318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</row>
    <row r="28" spans="1:33" ht="14">
      <c r="A28" s="450" t="s">
        <v>215</v>
      </c>
      <c r="B28" s="492">
        <f>I12</f>
        <v>119549353.05372961</v>
      </c>
      <c r="C28" s="450"/>
      <c r="D28" s="450"/>
      <c r="E28" s="559" t="s">
        <v>206</v>
      </c>
      <c r="F28" s="559"/>
      <c r="G28" s="559"/>
      <c r="H28" s="459"/>
      <c r="I28" s="414"/>
      <c r="J28" s="414"/>
      <c r="K28" s="559" t="s">
        <v>206</v>
      </c>
      <c r="L28" s="559"/>
      <c r="M28" s="559"/>
      <c r="N28" s="331"/>
      <c r="O28" s="414"/>
      <c r="P28" s="414"/>
      <c r="Q28" s="559" t="s">
        <v>206</v>
      </c>
      <c r="R28" s="559"/>
      <c r="S28" s="559"/>
      <c r="T28" s="318"/>
      <c r="U28" s="318"/>
      <c r="V28" s="318"/>
      <c r="W28" s="318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</row>
    <row r="29" spans="1:33" ht="14">
      <c r="A29" s="450" t="s">
        <v>216</v>
      </c>
      <c r="B29" s="492">
        <f>I17</f>
        <v>5</v>
      </c>
      <c r="C29" s="414"/>
      <c r="D29" s="463"/>
      <c r="E29" s="333">
        <f>F29-B33</f>
        <v>1.4999999999999999E-2</v>
      </c>
      <c r="F29" s="333">
        <f>B32</f>
        <v>0.02</v>
      </c>
      <c r="G29" s="333">
        <f>F29+B33</f>
        <v>2.5000000000000001E-2</v>
      </c>
      <c r="H29" s="300"/>
      <c r="I29" s="414"/>
      <c r="J29" s="463"/>
      <c r="K29" s="333">
        <f>E29</f>
        <v>1.4999999999999999E-2</v>
      </c>
      <c r="L29" s="333">
        <f>F29</f>
        <v>0.02</v>
      </c>
      <c r="M29" s="333">
        <f>G29</f>
        <v>2.5000000000000001E-2</v>
      </c>
      <c r="N29" s="331"/>
      <c r="O29" s="414"/>
      <c r="P29" s="18"/>
      <c r="Q29" s="461">
        <f>E29</f>
        <v>1.4999999999999999E-2</v>
      </c>
      <c r="R29" s="333">
        <f>F29</f>
        <v>0.02</v>
      </c>
      <c r="S29" s="460">
        <f>G29</f>
        <v>2.5000000000000001E-2</v>
      </c>
      <c r="T29" s="318"/>
      <c r="U29" s="318"/>
      <c r="V29" s="318"/>
      <c r="W29" s="318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</row>
    <row r="30" spans="1:33" ht="14">
      <c r="A30" s="450" t="s">
        <v>217</v>
      </c>
      <c r="B30" s="493">
        <f>B4</f>
        <v>0.25</v>
      </c>
      <c r="C30" s="558" t="s">
        <v>217</v>
      </c>
      <c r="D30" s="458">
        <f>D19</f>
        <v>0.2</v>
      </c>
      <c r="E30" s="334">
        <f>($B$28*(1+E$29))/($D30-E$29)</f>
        <v>655905909.99748945</v>
      </c>
      <c r="F30" s="334">
        <f t="shared" ref="E30:G34" si="5">($B$28*(1+F$29))/($D30-F$29)</f>
        <v>677446333.97113442</v>
      </c>
      <c r="G30" s="334">
        <f t="shared" si="5"/>
        <v>700217639.3147018</v>
      </c>
      <c r="H30" s="296"/>
      <c r="I30" s="558" t="s">
        <v>217</v>
      </c>
      <c r="J30" s="458">
        <f>D30</f>
        <v>0.2</v>
      </c>
      <c r="K30" s="335">
        <f t="shared" ref="K30:M34" si="6">E30*(1+$J30)^0.5/$B$27</f>
        <v>4.1191401557772576</v>
      </c>
      <c r="L30" s="335">
        <f t="shared" si="6"/>
        <v>4.2544156945548357</v>
      </c>
      <c r="M30" s="335">
        <f t="shared" si="6"/>
        <v>4.3974212641197035</v>
      </c>
      <c r="N30" s="331"/>
      <c r="O30" s="567" t="s">
        <v>217</v>
      </c>
      <c r="P30" s="462">
        <f>D30</f>
        <v>0.2</v>
      </c>
      <c r="Q30" s="334">
        <f t="shared" ref="Q30:S34" si="7">E30/((1+$P30)^$B$29)</f>
        <v>263593874.58103842</v>
      </c>
      <c r="R30" s="334">
        <f t="shared" si="7"/>
        <v>272250487.86777204</v>
      </c>
      <c r="S30" s="334">
        <f t="shared" si="7"/>
        <v>281401764.77089036</v>
      </c>
      <c r="T30" s="318"/>
      <c r="U30" s="318"/>
      <c r="V30" s="318"/>
      <c r="W30" s="318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</row>
    <row r="31" spans="1:33" ht="14">
      <c r="A31" s="450" t="s">
        <v>205</v>
      </c>
      <c r="B31" s="493">
        <f>B5</f>
        <v>2.5000000000000001E-2</v>
      </c>
      <c r="C31" s="558"/>
      <c r="D31" s="458">
        <f>D20</f>
        <v>0.22500000000000001</v>
      </c>
      <c r="E31" s="334">
        <f t="shared" si="5"/>
        <v>577821873.09302628</v>
      </c>
      <c r="F31" s="334">
        <f>($B$28*(1+F$29))/($D31-F$29)</f>
        <v>594830927.38928878</v>
      </c>
      <c r="G31" s="334">
        <f t="shared" si="5"/>
        <v>612690434.40036416</v>
      </c>
      <c r="H31" s="296"/>
      <c r="I31" s="558"/>
      <c r="J31" s="458">
        <f>D31</f>
        <v>0.22500000000000001</v>
      </c>
      <c r="K31" s="335">
        <f t="shared" si="6"/>
        <v>3.6663711282253524</v>
      </c>
      <c r="L31" s="335">
        <f t="shared" si="6"/>
        <v>3.7742962665667226</v>
      </c>
      <c r="M31" s="335">
        <f t="shared" si="6"/>
        <v>3.8876176618251588</v>
      </c>
      <c r="N31" s="331"/>
      <c r="O31" s="567"/>
      <c r="P31" s="458">
        <f>D31</f>
        <v>0.22500000000000001</v>
      </c>
      <c r="Q31" s="334">
        <f t="shared" si="7"/>
        <v>209465997.51373568</v>
      </c>
      <c r="R31" s="334">
        <f t="shared" si="7"/>
        <v>215631943.61380365</v>
      </c>
      <c r="S31" s="334">
        <f t="shared" si="7"/>
        <v>222106187.01887491</v>
      </c>
      <c r="T31" s="318"/>
      <c r="U31" s="318"/>
      <c r="V31" s="318"/>
      <c r="W31" s="318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</row>
    <row r="32" spans="1:33" ht="14">
      <c r="A32" s="450" t="s">
        <v>206</v>
      </c>
      <c r="B32" s="493">
        <f>B6</f>
        <v>0.02</v>
      </c>
      <c r="C32" s="558"/>
      <c r="D32" s="458">
        <f>D21</f>
        <v>0.25</v>
      </c>
      <c r="E32" s="334">
        <f t="shared" si="5"/>
        <v>516351461.06185341</v>
      </c>
      <c r="F32" s="334">
        <f t="shared" si="5"/>
        <v>530175391.80349654</v>
      </c>
      <c r="G32" s="334">
        <f t="shared" si="5"/>
        <v>544613719.46699035</v>
      </c>
      <c r="H32" s="296"/>
      <c r="I32" s="558"/>
      <c r="J32" s="458">
        <f>D32</f>
        <v>0.25</v>
      </c>
      <c r="K32" s="335">
        <f t="shared" si="6"/>
        <v>3.3095947495081539</v>
      </c>
      <c r="L32" s="335">
        <f t="shared" si="6"/>
        <v>3.3982003060916877</v>
      </c>
      <c r="M32" s="335">
        <f t="shared" si="6"/>
        <v>3.4907438874122669</v>
      </c>
      <c r="N32" s="331"/>
      <c r="O32" s="567"/>
      <c r="P32" s="458">
        <f>D32</f>
        <v>0.25</v>
      </c>
      <c r="Q32" s="334">
        <f t="shared" si="7"/>
        <v>169198046.76074812</v>
      </c>
      <c r="R32" s="334">
        <f t="shared" si="7"/>
        <v>173727872.38616973</v>
      </c>
      <c r="S32" s="334">
        <f t="shared" si="7"/>
        <v>178459023.5949434</v>
      </c>
      <c r="T32" s="318"/>
      <c r="U32" s="318"/>
      <c r="V32" s="318"/>
      <c r="W32" s="318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</row>
    <row r="33" spans="1:33" ht="14">
      <c r="A33" s="450" t="s">
        <v>207</v>
      </c>
      <c r="B33" s="493">
        <f>B7</f>
        <v>5.0000000000000001E-3</v>
      </c>
      <c r="C33" s="558"/>
      <c r="D33" s="458">
        <f>D22</f>
        <v>0.27500000000000002</v>
      </c>
      <c r="E33" s="334">
        <f t="shared" si="5"/>
        <v>466702282.11359823</v>
      </c>
      <c r="F33" s="334">
        <f t="shared" si="5"/>
        <v>478197412.21491843</v>
      </c>
      <c r="G33" s="334">
        <f t="shared" si="5"/>
        <v>490152347.52029133</v>
      </c>
      <c r="H33" s="296"/>
      <c r="I33" s="558"/>
      <c r="J33" s="458">
        <f>D33</f>
        <v>0.27500000000000002</v>
      </c>
      <c r="K33" s="335">
        <f t="shared" si="6"/>
        <v>3.0211300390035301</v>
      </c>
      <c r="L33" s="335">
        <f t="shared" si="6"/>
        <v>3.0955421089297253</v>
      </c>
      <c r="M33" s="335">
        <f t="shared" si="6"/>
        <v>3.1729306616529684</v>
      </c>
      <c r="N33" s="331"/>
      <c r="O33" s="567"/>
      <c r="P33" s="458">
        <f>D33</f>
        <v>0.27500000000000002</v>
      </c>
      <c r="Q33" s="334">
        <f t="shared" si="7"/>
        <v>138512510.4609589</v>
      </c>
      <c r="R33" s="334">
        <f t="shared" si="7"/>
        <v>141924148.64965248</v>
      </c>
      <c r="S33" s="334">
        <f t="shared" si="7"/>
        <v>145472252.36589378</v>
      </c>
      <c r="T33" s="318"/>
      <c r="U33" s="318"/>
      <c r="V33" s="318"/>
      <c r="W33" s="318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</row>
    <row r="34" spans="1:33" ht="14">
      <c r="A34" s="332"/>
      <c r="B34" s="457"/>
      <c r="C34" s="558"/>
      <c r="D34" s="458">
        <f>D23</f>
        <v>0.30000000000000004</v>
      </c>
      <c r="E34" s="334">
        <f t="shared" si="5"/>
        <v>425763485.43696678</v>
      </c>
      <c r="F34" s="334">
        <f t="shared" si="5"/>
        <v>435501214.69572926</v>
      </c>
      <c r="G34" s="334">
        <f t="shared" si="5"/>
        <v>445593043.20026481</v>
      </c>
      <c r="H34" s="296"/>
      <c r="I34" s="558"/>
      <c r="J34" s="458">
        <f>D34</f>
        <v>0.30000000000000004</v>
      </c>
      <c r="K34" s="335">
        <f t="shared" si="6"/>
        <v>2.7830082310941617</v>
      </c>
      <c r="L34" s="335">
        <f t="shared" si="6"/>
        <v>2.8466590175196087</v>
      </c>
      <c r="M34" s="335">
        <f t="shared" si="6"/>
        <v>2.9126243779968899</v>
      </c>
      <c r="N34" s="331"/>
      <c r="O34" s="567"/>
      <c r="P34" s="466">
        <f>D34</f>
        <v>0.30000000000000004</v>
      </c>
      <c r="Q34" s="467">
        <f t="shared" si="7"/>
        <v>114670485.42174688</v>
      </c>
      <c r="R34" s="467">
        <f t="shared" si="7"/>
        <v>117293139.02921121</v>
      </c>
      <c r="S34" s="467">
        <f t="shared" si="7"/>
        <v>120011161.8587651</v>
      </c>
      <c r="T34" s="318"/>
      <c r="U34" s="318"/>
      <c r="V34" s="318"/>
      <c r="W34" s="318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</row>
    <row r="35" spans="1:33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02"/>
      <c r="O35" s="304"/>
      <c r="P35" s="328"/>
      <c r="Q35" s="328"/>
      <c r="R35" s="328"/>
      <c r="S35" s="328"/>
      <c r="T35" s="328"/>
      <c r="U35" s="328"/>
      <c r="V35" s="328"/>
      <c r="W35" s="328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</row>
    <row r="36" spans="1:33" ht="14">
      <c r="A36" s="448" t="s">
        <v>281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318"/>
      <c r="W36" s="318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</row>
    <row r="37" spans="1:33" ht="14">
      <c r="A37" s="322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31"/>
      <c r="O37" s="27"/>
      <c r="P37" s="10"/>
      <c r="Q37" s="10"/>
      <c r="R37" s="10"/>
      <c r="S37" s="10"/>
      <c r="T37" s="468"/>
      <c r="U37" s="318"/>
      <c r="V37" s="318"/>
      <c r="W37" s="318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</row>
    <row r="38" spans="1:33" ht="14">
      <c r="A38" s="481"/>
      <c r="B38" s="481"/>
      <c r="C38" s="482"/>
      <c r="D38" s="481"/>
      <c r="E38" s="565" t="str">
        <f>"Constant growth rate = "&amp;TEXT($E$29,"0.00%")</f>
        <v>Constant growth rate = 1.50%</v>
      </c>
      <c r="F38" s="565"/>
      <c r="G38" s="565"/>
      <c r="H38" s="565"/>
      <c r="I38" s="565"/>
      <c r="J38" s="481"/>
      <c r="K38" s="565" t="str">
        <f>"Constant growth rate = "&amp;TEXT($F$29,"0.00%")</f>
        <v>Constant growth rate = 2.00%</v>
      </c>
      <c r="L38" s="565"/>
      <c r="M38" s="565"/>
      <c r="N38" s="565"/>
      <c r="O38" s="565"/>
      <c r="P38" s="481"/>
      <c r="Q38" s="565" t="str">
        <f>"Constant growth rate = "&amp;TEXT($G$29,"0.00%")</f>
        <v>Constant growth rate = 2.50%</v>
      </c>
      <c r="R38" s="565"/>
      <c r="S38" s="565"/>
      <c r="T38" s="565"/>
      <c r="U38" s="566"/>
      <c r="V38" s="318"/>
      <c r="W38" s="318"/>
      <c r="X38" s="318"/>
      <c r="Y38" s="318"/>
      <c r="Z38" s="318"/>
      <c r="AA38" s="318"/>
      <c r="AB38" s="310"/>
      <c r="AC38" s="310"/>
      <c r="AD38" s="310"/>
      <c r="AE38" s="310"/>
      <c r="AF38" s="310"/>
      <c r="AG38" s="310"/>
    </row>
    <row r="39" spans="1:33" ht="14">
      <c r="A39" s="450" t="s">
        <v>192</v>
      </c>
      <c r="B39" s="450"/>
      <c r="C39" s="104"/>
      <c r="D39" s="450"/>
      <c r="E39" s="469">
        <f>D30</f>
        <v>0.2</v>
      </c>
      <c r="F39" s="469">
        <f>D31</f>
        <v>0.22500000000000001</v>
      </c>
      <c r="G39" s="469">
        <f>D32</f>
        <v>0.25</v>
      </c>
      <c r="H39" s="469">
        <f>D33</f>
        <v>0.27500000000000002</v>
      </c>
      <c r="I39" s="469">
        <f>D34</f>
        <v>0.30000000000000004</v>
      </c>
      <c r="J39" s="331"/>
      <c r="K39" s="469">
        <f>E39</f>
        <v>0.2</v>
      </c>
      <c r="L39" s="469">
        <f>F39</f>
        <v>0.22500000000000001</v>
      </c>
      <c r="M39" s="469">
        <f>G39</f>
        <v>0.25</v>
      </c>
      <c r="N39" s="469">
        <f t="shared" ref="N39:O39" si="8">H39</f>
        <v>0.27500000000000002</v>
      </c>
      <c r="O39" s="469">
        <f t="shared" si="8"/>
        <v>0.30000000000000004</v>
      </c>
      <c r="P39" s="331"/>
      <c r="Q39" s="469">
        <f>K39</f>
        <v>0.2</v>
      </c>
      <c r="R39" s="469">
        <f>L39</f>
        <v>0.22500000000000001</v>
      </c>
      <c r="S39" s="469">
        <f>M39</f>
        <v>0.25</v>
      </c>
      <c r="T39" s="469">
        <f t="shared" ref="T39:U39" si="9">N39</f>
        <v>0.27500000000000002</v>
      </c>
      <c r="U39" s="469">
        <f t="shared" si="9"/>
        <v>0.30000000000000004</v>
      </c>
      <c r="V39" s="27"/>
      <c r="W39" s="317"/>
      <c r="X39" s="318"/>
      <c r="Y39" s="318"/>
      <c r="Z39" s="318"/>
      <c r="AA39" s="318"/>
      <c r="AB39" s="318"/>
      <c r="AC39" s="318"/>
      <c r="AD39" s="318"/>
      <c r="AE39" s="310"/>
      <c r="AF39" s="310"/>
      <c r="AG39" s="310"/>
    </row>
    <row r="40" spans="1:33" ht="14">
      <c r="A40" s="450" t="s">
        <v>219</v>
      </c>
      <c r="B40" s="450"/>
      <c r="C40" s="104"/>
      <c r="D40" s="450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27"/>
      <c r="W40" s="317"/>
      <c r="X40" s="318"/>
      <c r="Y40" s="318"/>
      <c r="Z40" s="318"/>
      <c r="AA40" s="318"/>
      <c r="AB40" s="318"/>
      <c r="AC40" s="318"/>
      <c r="AD40" s="318"/>
      <c r="AE40" s="310"/>
      <c r="AF40" s="310"/>
      <c r="AG40" s="310"/>
    </row>
    <row r="41" spans="1:33" ht="14">
      <c r="A41" s="450" t="s">
        <v>210</v>
      </c>
      <c r="B41" s="450"/>
      <c r="C41" s="104"/>
      <c r="D41" s="450"/>
      <c r="E41" s="327">
        <f>J19</f>
        <v>87285042.954868019</v>
      </c>
      <c r="F41" s="327">
        <f>J20</f>
        <v>80063199.377843589</v>
      </c>
      <c r="G41" s="327">
        <f>J21</f>
        <v>73606807.460777014</v>
      </c>
      <c r="H41" s="327">
        <f>J22</f>
        <v>67820134.193271473</v>
      </c>
      <c r="I41" s="327">
        <f>J23</f>
        <v>62621088.1015388</v>
      </c>
      <c r="J41" s="470"/>
      <c r="K41" s="327">
        <f>E41</f>
        <v>87285042.954868019</v>
      </c>
      <c r="L41" s="327">
        <f>F41</f>
        <v>80063199.377843589</v>
      </c>
      <c r="M41" s="327">
        <f>G41</f>
        <v>73606807.460777014</v>
      </c>
      <c r="N41" s="327">
        <f t="shared" ref="N41:O41" si="10">H41</f>
        <v>67820134.193271473</v>
      </c>
      <c r="O41" s="327">
        <f t="shared" si="10"/>
        <v>62621088.1015388</v>
      </c>
      <c r="P41" s="470"/>
      <c r="Q41" s="327">
        <f>K41</f>
        <v>87285042.954868019</v>
      </c>
      <c r="R41" s="327">
        <f>L41</f>
        <v>80063199.377843589</v>
      </c>
      <c r="S41" s="327">
        <f>M41</f>
        <v>73606807.460777014</v>
      </c>
      <c r="T41" s="327">
        <f>N41</f>
        <v>67820134.193271473</v>
      </c>
      <c r="U41" s="327">
        <f>O41</f>
        <v>62621088.1015388</v>
      </c>
      <c r="V41" s="336"/>
      <c r="W41" s="318"/>
      <c r="X41" s="318"/>
      <c r="Y41" s="318"/>
      <c r="Z41" s="318"/>
      <c r="AA41" s="318"/>
      <c r="AB41" s="318"/>
      <c r="AC41" s="318"/>
      <c r="AD41" s="318"/>
      <c r="AE41" s="310"/>
      <c r="AF41" s="310"/>
      <c r="AG41" s="310"/>
    </row>
    <row r="42" spans="1:33" ht="14">
      <c r="A42" s="450" t="s">
        <v>211</v>
      </c>
      <c r="B42" s="450"/>
      <c r="C42" s="104"/>
      <c r="D42" s="450"/>
      <c r="E42" s="327">
        <f>Q30</f>
        <v>263593874.58103842</v>
      </c>
      <c r="F42" s="327">
        <f>Q31</f>
        <v>209465997.51373568</v>
      </c>
      <c r="G42" s="327">
        <f>Q32</f>
        <v>169198046.76074812</v>
      </c>
      <c r="H42" s="327">
        <f>Q33</f>
        <v>138512510.4609589</v>
      </c>
      <c r="I42" s="327">
        <f>Q34</f>
        <v>114670485.42174688</v>
      </c>
      <c r="J42" s="327"/>
      <c r="K42" s="327">
        <f>R30</f>
        <v>272250487.86777204</v>
      </c>
      <c r="L42" s="327">
        <f>R31</f>
        <v>215631943.61380365</v>
      </c>
      <c r="M42" s="327">
        <f>R32</f>
        <v>173727872.38616973</v>
      </c>
      <c r="N42" s="327">
        <f>R33</f>
        <v>141924148.64965248</v>
      </c>
      <c r="O42" s="327">
        <f>R34</f>
        <v>117293139.02921121</v>
      </c>
      <c r="P42" s="327"/>
      <c r="Q42" s="327">
        <f>S30</f>
        <v>281401764.77089036</v>
      </c>
      <c r="R42" s="327">
        <f>S31</f>
        <v>222106187.01887491</v>
      </c>
      <c r="S42" s="327">
        <f>S32</f>
        <v>178459023.5949434</v>
      </c>
      <c r="T42" s="327">
        <f>S33</f>
        <v>145472252.36589378</v>
      </c>
      <c r="U42" s="327">
        <f>S34</f>
        <v>120011161.8587651</v>
      </c>
      <c r="V42" s="318"/>
      <c r="W42" s="318"/>
      <c r="X42" s="318"/>
      <c r="Y42" s="318"/>
      <c r="Z42" s="318"/>
      <c r="AA42" s="318"/>
      <c r="AB42" s="318"/>
      <c r="AC42" s="318"/>
      <c r="AD42" s="318"/>
      <c r="AE42" s="310"/>
      <c r="AF42" s="310"/>
      <c r="AG42" s="310"/>
    </row>
    <row r="43" spans="1:33" ht="14">
      <c r="A43" s="485" t="s">
        <v>220</v>
      </c>
      <c r="B43" s="486"/>
      <c r="C43" s="487"/>
      <c r="D43" s="486"/>
      <c r="E43" s="488">
        <f>E41+E42</f>
        <v>350878917.53590643</v>
      </c>
      <c r="F43" s="488">
        <f t="shared" ref="F43" si="11">F41+F42</f>
        <v>289529196.89157927</v>
      </c>
      <c r="G43" s="488">
        <f>G41+G42</f>
        <v>242804854.22152513</v>
      </c>
      <c r="H43" s="488">
        <f t="shared" ref="H43:I43" si="12">H41+H42</f>
        <v>206332644.65423036</v>
      </c>
      <c r="I43" s="488">
        <f t="shared" si="12"/>
        <v>177291573.52328569</v>
      </c>
      <c r="J43" s="489"/>
      <c r="K43" s="488">
        <f t="shared" ref="K43:O43" si="13">K41+K42</f>
        <v>359535530.82264006</v>
      </c>
      <c r="L43" s="488">
        <f t="shared" si="13"/>
        <v>295695142.99164724</v>
      </c>
      <c r="M43" s="488">
        <f t="shared" si="13"/>
        <v>247334679.84694675</v>
      </c>
      <c r="N43" s="488">
        <f t="shared" si="13"/>
        <v>209744282.84292394</v>
      </c>
      <c r="O43" s="488">
        <f t="shared" si="13"/>
        <v>179914227.13075</v>
      </c>
      <c r="P43" s="488"/>
      <c r="Q43" s="488">
        <f t="shared" ref="Q43:R43" si="14">Q41+Q42</f>
        <v>368686807.72575837</v>
      </c>
      <c r="R43" s="488">
        <f t="shared" si="14"/>
        <v>302169386.3967185</v>
      </c>
      <c r="S43" s="488">
        <f>S41+S42</f>
        <v>252065831.05572042</v>
      </c>
      <c r="T43" s="488">
        <f t="shared" ref="T43:U43" si="15">T41+T42</f>
        <v>213292386.55916524</v>
      </c>
      <c r="U43" s="488">
        <f t="shared" si="15"/>
        <v>182632249.9603039</v>
      </c>
      <c r="V43" s="318"/>
      <c r="W43" s="318"/>
      <c r="X43" s="318"/>
      <c r="Y43" s="318"/>
      <c r="Z43" s="318"/>
      <c r="AA43" s="318"/>
      <c r="AB43" s="318"/>
      <c r="AC43" s="318"/>
      <c r="AD43" s="318"/>
      <c r="AE43" s="310"/>
      <c r="AF43" s="310"/>
      <c r="AG43" s="310"/>
    </row>
    <row r="44" spans="1:33" ht="14">
      <c r="A44" s="478"/>
      <c r="B44" s="450"/>
      <c r="C44" s="104"/>
      <c r="D44" s="450"/>
      <c r="E44" s="471"/>
      <c r="F44" s="471"/>
      <c r="G44" s="471"/>
      <c r="H44" s="471"/>
      <c r="I44" s="471"/>
      <c r="J44" s="327"/>
      <c r="K44" s="471"/>
      <c r="L44" s="471"/>
      <c r="M44" s="471"/>
      <c r="N44" s="471"/>
      <c r="O44" s="471"/>
      <c r="P44" s="472"/>
      <c r="Q44" s="471"/>
      <c r="R44" s="471"/>
      <c r="S44" s="471"/>
      <c r="T44" s="471"/>
      <c r="U44" s="471"/>
      <c r="V44" s="318"/>
      <c r="W44" s="318"/>
      <c r="X44" s="318"/>
      <c r="Y44" s="318"/>
      <c r="Z44" s="318"/>
      <c r="AA44" s="318"/>
      <c r="AB44" s="318"/>
      <c r="AC44" s="318"/>
      <c r="AD44" s="318"/>
      <c r="AE44" s="310"/>
      <c r="AF44" s="310"/>
      <c r="AG44" s="310"/>
    </row>
    <row r="45" spans="1:33" ht="14">
      <c r="A45" s="450" t="s">
        <v>221</v>
      </c>
      <c r="B45" s="450"/>
      <c r="C45" s="104"/>
      <c r="D45" s="45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18"/>
      <c r="W45" s="318"/>
      <c r="X45" s="318"/>
      <c r="Y45" s="318"/>
      <c r="Z45" s="318"/>
      <c r="AA45" s="318"/>
      <c r="AB45" s="318"/>
      <c r="AC45" s="318"/>
      <c r="AD45" s="318"/>
      <c r="AE45" s="310"/>
      <c r="AF45" s="310"/>
      <c r="AG45" s="310"/>
    </row>
    <row r="46" spans="1:33" ht="14">
      <c r="A46" s="479" t="s">
        <v>222</v>
      </c>
      <c r="B46" s="450"/>
      <c r="C46" s="104"/>
      <c r="D46" s="450"/>
      <c r="E46" s="473">
        <f t="shared" ref="E46:I47" si="16">E41/E$43</f>
        <v>0.24876114976596134</v>
      </c>
      <c r="F46" s="473">
        <f t="shared" si="16"/>
        <v>0.27652893123530148</v>
      </c>
      <c r="G46" s="473">
        <f t="shared" si="16"/>
        <v>0.30315212476609382</v>
      </c>
      <c r="H46" s="473">
        <f t="shared" si="16"/>
        <v>0.3286931852539553</v>
      </c>
      <c r="I46" s="473">
        <f t="shared" si="16"/>
        <v>0.35320961316480204</v>
      </c>
      <c r="J46" s="473"/>
      <c r="K46" s="473">
        <f t="shared" ref="K46:O47" si="17">K41/K$43</f>
        <v>0.24277167476369946</v>
      </c>
      <c r="L46" s="473">
        <f t="shared" si="17"/>
        <v>0.27076264617611662</v>
      </c>
      <c r="M46" s="473">
        <f t="shared" si="17"/>
        <v>0.297600027243756</v>
      </c>
      <c r="N46" s="473">
        <f t="shared" si="17"/>
        <v>0.32334675955893161</v>
      </c>
      <c r="O46" s="473">
        <f t="shared" si="17"/>
        <v>0.34806079041225491</v>
      </c>
      <c r="P46" s="473"/>
      <c r="Q46" s="473">
        <f t="shared" ref="Q46:U47" si="18">Q41/Q$43</f>
        <v>0.2367457720911825</v>
      </c>
      <c r="R46" s="473">
        <f t="shared" si="18"/>
        <v>0.26496131965111958</v>
      </c>
      <c r="S46" s="473">
        <f t="shared" si="18"/>
        <v>0.29201422165190594</v>
      </c>
      <c r="T46" s="473">
        <f t="shared" si="18"/>
        <v>0.31796790915675194</v>
      </c>
      <c r="U46" s="473">
        <f t="shared" si="18"/>
        <v>0.34288077880631612</v>
      </c>
      <c r="V46" s="318"/>
      <c r="W46" s="318"/>
      <c r="X46" s="318"/>
      <c r="Y46" s="318"/>
      <c r="Z46" s="318"/>
      <c r="AA46" s="318"/>
      <c r="AB46" s="318"/>
      <c r="AC46" s="318"/>
      <c r="AD46" s="318"/>
      <c r="AE46" s="310"/>
      <c r="AF46" s="310"/>
      <c r="AG46" s="310"/>
    </row>
    <row r="47" spans="1:33" ht="14">
      <c r="A47" s="479" t="s">
        <v>223</v>
      </c>
      <c r="B47" s="450"/>
      <c r="C47" s="104"/>
      <c r="D47" s="450"/>
      <c r="E47" s="473">
        <f t="shared" si="16"/>
        <v>0.75123885023403869</v>
      </c>
      <c r="F47" s="473">
        <f t="shared" si="16"/>
        <v>0.72347106876469847</v>
      </c>
      <c r="G47" s="473">
        <f t="shared" si="16"/>
        <v>0.69684787523390612</v>
      </c>
      <c r="H47" s="473">
        <f t="shared" si="16"/>
        <v>0.6713068147460447</v>
      </c>
      <c r="I47" s="473">
        <f t="shared" si="16"/>
        <v>0.64679038683519785</v>
      </c>
      <c r="J47" s="473"/>
      <c r="K47" s="473">
        <f t="shared" si="17"/>
        <v>0.75722832523630057</v>
      </c>
      <c r="L47" s="473">
        <f t="shared" si="17"/>
        <v>0.72923735382388344</v>
      </c>
      <c r="M47" s="473">
        <f t="shared" si="17"/>
        <v>0.702399972756244</v>
      </c>
      <c r="N47" s="473">
        <f t="shared" si="17"/>
        <v>0.67665324044106845</v>
      </c>
      <c r="O47" s="473">
        <f t="shared" si="17"/>
        <v>0.65193920958774509</v>
      </c>
      <c r="P47" s="473"/>
      <c r="Q47" s="473">
        <f t="shared" si="18"/>
        <v>0.76325422790881747</v>
      </c>
      <c r="R47" s="473">
        <f t="shared" si="18"/>
        <v>0.73503868034888042</v>
      </c>
      <c r="S47" s="473">
        <f t="shared" si="18"/>
        <v>0.70798577834809406</v>
      </c>
      <c r="T47" s="473">
        <f t="shared" si="18"/>
        <v>0.68203209084324812</v>
      </c>
      <c r="U47" s="473">
        <f t="shared" si="18"/>
        <v>0.65711922119368382</v>
      </c>
      <c r="V47" s="318"/>
      <c r="W47" s="318"/>
      <c r="X47" s="318"/>
      <c r="Y47" s="318"/>
      <c r="Z47" s="318"/>
      <c r="AA47" s="318"/>
      <c r="AB47" s="318"/>
      <c r="AC47" s="318"/>
      <c r="AD47" s="318"/>
      <c r="AE47" s="310"/>
      <c r="AF47" s="310"/>
      <c r="AG47" s="310"/>
    </row>
    <row r="48" spans="1:33" ht="14">
      <c r="A48" s="450" t="s">
        <v>224</v>
      </c>
      <c r="B48" s="450"/>
      <c r="C48" s="104"/>
      <c r="D48" s="450"/>
      <c r="E48" s="474"/>
      <c r="F48" s="474"/>
      <c r="G48" s="474"/>
      <c r="H48" s="474"/>
      <c r="I48" s="474"/>
      <c r="J48" s="380"/>
      <c r="K48" s="475"/>
      <c r="L48" s="475"/>
      <c r="M48" s="475"/>
      <c r="N48" s="475"/>
      <c r="O48" s="475"/>
      <c r="P48" s="380"/>
      <c r="Q48" s="475"/>
      <c r="R48" s="475"/>
      <c r="S48" s="475"/>
      <c r="T48" s="475"/>
      <c r="U48" s="475"/>
      <c r="V48" s="318"/>
      <c r="W48" s="318"/>
      <c r="X48" s="318"/>
      <c r="Y48" s="318"/>
      <c r="Z48" s="318"/>
      <c r="AA48" s="318"/>
      <c r="AB48" s="318"/>
      <c r="AC48" s="318"/>
      <c r="AD48" s="318"/>
      <c r="AE48" s="310"/>
      <c r="AF48" s="310"/>
      <c r="AG48" s="310"/>
    </row>
    <row r="49" spans="1:33" ht="14">
      <c r="A49" s="479" t="str">
        <f>"Enterprise Value / Sales This Year"</f>
        <v>Enterprise Value / Sales This Year</v>
      </c>
      <c r="B49" s="450"/>
      <c r="C49" s="104"/>
      <c r="D49" s="450"/>
      <c r="E49" s="476">
        <f>E43/$G$10</f>
        <v>7.4604342249591262</v>
      </c>
      <c r="F49" s="476">
        <f>F43/$G$10</f>
        <v>6.1560083027611006</v>
      </c>
      <c r="G49" s="476">
        <f>G43/$G$10</f>
        <v>5.1625491127864889</v>
      </c>
      <c r="H49" s="476">
        <f>H43/$G$10</f>
        <v>4.3870721407684057</v>
      </c>
      <c r="I49" s="476">
        <f>I43/$G$10</f>
        <v>3.7695970228095139</v>
      </c>
      <c r="J49" s="477" t="str">
        <f>A49</f>
        <v>Enterprise Value / Sales This Year</v>
      </c>
      <c r="K49" s="476">
        <f>K43/$G$10</f>
        <v>7.6444922883221791</v>
      </c>
      <c r="L49" s="476">
        <f>L43/$G$10</f>
        <v>6.2871094690473104</v>
      </c>
      <c r="M49" s="476">
        <f>M43/$G$10</f>
        <v>5.2588628678741944</v>
      </c>
      <c r="N49" s="476">
        <f>N43/$G$10</f>
        <v>4.4596108458147201</v>
      </c>
      <c r="O49" s="476">
        <f>O43/$G$10</f>
        <v>3.8253602327246181</v>
      </c>
      <c r="P49" s="477" t="str">
        <f t="shared" ref="P49:P52" si="19">J49</f>
        <v>Enterprise Value / Sales This Year</v>
      </c>
      <c r="Q49" s="476">
        <f>Q43/$G$10</f>
        <v>7.8390679553059766</v>
      </c>
      <c r="R49" s="476">
        <f>R43/$G$10</f>
        <v>6.4247656936478288</v>
      </c>
      <c r="S49" s="476">
        <f>S43/$G$10</f>
        <v>5.3594572342991302</v>
      </c>
      <c r="T49" s="476">
        <f>T43/$G$10</f>
        <v>4.5350510990628861</v>
      </c>
      <c r="U49" s="476">
        <f>U43/$G$10</f>
        <v>3.8831511957275437</v>
      </c>
      <c r="V49" s="318"/>
      <c r="W49" s="318"/>
      <c r="X49" s="318"/>
      <c r="Y49" s="318"/>
      <c r="Z49" s="318"/>
      <c r="AA49" s="318"/>
      <c r="AB49" s="318"/>
      <c r="AC49" s="318"/>
      <c r="AD49" s="318"/>
      <c r="AE49" s="310"/>
      <c r="AF49" s="310"/>
      <c r="AG49" s="310"/>
    </row>
    <row r="50" spans="1:33" ht="14">
      <c r="A50" s="479" t="str">
        <f>"Enterprise Value / EBITDA Year 1"</f>
        <v>Enterprise Value / EBITDA Year 1</v>
      </c>
      <c r="B50" s="450"/>
      <c r="C50" s="104"/>
      <c r="D50" s="450"/>
      <c r="E50" s="476">
        <f>E43/$G$11</f>
        <v>15.001622511260486</v>
      </c>
      <c r="F50" s="476">
        <f>F43/$G$11</f>
        <v>12.378651154814429</v>
      </c>
      <c r="G50" s="476">
        <f>G43/$G$11</f>
        <v>10.380979263481136</v>
      </c>
      <c r="H50" s="476">
        <f>H43/$G$11</f>
        <v>8.8216313154125583</v>
      </c>
      <c r="I50" s="476">
        <f>I43/$G$11</f>
        <v>7.579997336692494</v>
      </c>
      <c r="J50" s="477" t="str">
        <f>A50</f>
        <v>Enterprise Value / EBITDA Year 1</v>
      </c>
      <c r="K50" s="476">
        <f>K43/$G$11</f>
        <v>15.371730939733537</v>
      </c>
      <c r="L50" s="476">
        <f>L43/$G$11</f>
        <v>12.642272567202458</v>
      </c>
      <c r="M50" s="476">
        <f>M43/$G$11</f>
        <v>10.574649303709345</v>
      </c>
      <c r="N50" s="476">
        <f>N43/$G$11</f>
        <v>8.9674939070188042</v>
      </c>
      <c r="O50" s="476">
        <f>O43/$G$11</f>
        <v>7.6921273548573756</v>
      </c>
      <c r="P50" s="477" t="str">
        <f t="shared" si="19"/>
        <v>Enterprise Value / EBITDA Year 1</v>
      </c>
      <c r="Q50" s="476">
        <f>Q43/$G$11</f>
        <v>15.762988421262188</v>
      </c>
      <c r="R50" s="476">
        <f>R43/$G$11</f>
        <v>12.919075050209884</v>
      </c>
      <c r="S50" s="476">
        <f>S43/$G$11</f>
        <v>10.77692690128103</v>
      </c>
      <c r="T50" s="476">
        <f>T43/$G$11</f>
        <v>9.1191910022892984</v>
      </c>
      <c r="U50" s="476">
        <f>U43/$G$11</f>
        <v>7.8083348282282516</v>
      </c>
      <c r="V50" s="318"/>
      <c r="W50" s="318"/>
      <c r="X50" s="318"/>
      <c r="Y50" s="318"/>
      <c r="Z50" s="318"/>
      <c r="AA50" s="318"/>
      <c r="AB50" s="318"/>
      <c r="AC50" s="318"/>
      <c r="AD50" s="318"/>
      <c r="AE50" s="310"/>
      <c r="AF50" s="310"/>
      <c r="AG50" s="310"/>
    </row>
    <row r="51" spans="1:33" ht="14">
      <c r="A51" s="479" t="s">
        <v>225</v>
      </c>
      <c r="B51" s="450"/>
      <c r="C51" s="104"/>
      <c r="D51" s="450"/>
      <c r="E51" s="476">
        <f>K30</f>
        <v>4.1191401557772576</v>
      </c>
      <c r="F51" s="476">
        <f>K31</f>
        <v>3.6663711282253524</v>
      </c>
      <c r="G51" s="476">
        <f>K32</f>
        <v>3.3095947495081539</v>
      </c>
      <c r="H51" s="476">
        <f>K33</f>
        <v>3.0211300390035301</v>
      </c>
      <c r="I51" s="476">
        <f>K34</f>
        <v>2.7830082310941617</v>
      </c>
      <c r="J51" s="477" t="str">
        <f>A51</f>
        <v>EBITDA multiple - last year</v>
      </c>
      <c r="K51" s="476">
        <f>L30</f>
        <v>4.2544156945548357</v>
      </c>
      <c r="L51" s="476">
        <f>L31</f>
        <v>3.7742962665667226</v>
      </c>
      <c r="M51" s="476">
        <f>L32</f>
        <v>3.3982003060916877</v>
      </c>
      <c r="N51" s="476">
        <f>L33</f>
        <v>3.0955421089297253</v>
      </c>
      <c r="O51" s="476">
        <f>L34</f>
        <v>2.8466590175196087</v>
      </c>
      <c r="P51" s="477" t="str">
        <f t="shared" si="19"/>
        <v>EBITDA multiple - last year</v>
      </c>
      <c r="Q51" s="476">
        <f>M30</f>
        <v>4.3974212641197035</v>
      </c>
      <c r="R51" s="476">
        <f>M31</f>
        <v>3.8876176618251588</v>
      </c>
      <c r="S51" s="476">
        <f>M32</f>
        <v>3.4907438874122669</v>
      </c>
      <c r="T51" s="476">
        <f>M33</f>
        <v>3.1729306616529684</v>
      </c>
      <c r="U51" s="476">
        <f>M34</f>
        <v>2.9126243779968899</v>
      </c>
      <c r="V51" s="318"/>
      <c r="W51" s="318"/>
      <c r="X51" s="318"/>
      <c r="Y51" s="318"/>
      <c r="Z51" s="318"/>
      <c r="AA51" s="318"/>
      <c r="AB51" s="318"/>
      <c r="AC51" s="318"/>
      <c r="AD51" s="318"/>
      <c r="AE51" s="310"/>
      <c r="AF51" s="310"/>
      <c r="AG51" s="310"/>
    </row>
    <row r="52" spans="1:33" ht="14">
      <c r="A52" s="479" t="s">
        <v>226</v>
      </c>
      <c r="B52" s="104"/>
      <c r="C52" s="104"/>
      <c r="D52" s="104"/>
      <c r="E52" s="476">
        <f>E43/E42</f>
        <v>1.3311345648437418</v>
      </c>
      <c r="F52" s="476">
        <f>F43/F42</f>
        <v>1.3822252791773206</v>
      </c>
      <c r="G52" s="476">
        <f>G43/G42</f>
        <v>1.4350334349004608</v>
      </c>
      <c r="H52" s="476">
        <f>H43/H42</f>
        <v>1.4896318315765942</v>
      </c>
      <c r="I52" s="476">
        <f>I43/I42</f>
        <v>1.5460959537340802</v>
      </c>
      <c r="J52" s="477" t="str">
        <f>A52</f>
        <v>Enterprise Value / Terminal Value</v>
      </c>
      <c r="K52" s="476">
        <f>K43/K42</f>
        <v>1.3206056438630187</v>
      </c>
      <c r="L52" s="476">
        <f>L43/L42</f>
        <v>1.3712956347564005</v>
      </c>
      <c r="M52" s="476">
        <f>M43/M42</f>
        <v>1.4236902602315917</v>
      </c>
      <c r="N52" s="476">
        <f>N43/N42</f>
        <v>1.4778618356252335</v>
      </c>
      <c r="O52" s="476">
        <f>O43/O42</f>
        <v>1.5338853458934487</v>
      </c>
      <c r="P52" s="477" t="str">
        <f t="shared" si="19"/>
        <v>Enterprise Value / Terminal Value</v>
      </c>
      <c r="Q52" s="476">
        <f>Q43/Q42</f>
        <v>1.3101794440625953</v>
      </c>
      <c r="R52" s="476">
        <f>R43/R42</f>
        <v>1.3604726210127578</v>
      </c>
      <c r="S52" s="476">
        <f>S43/S42</f>
        <v>1.4124577506814435</v>
      </c>
      <c r="T52" s="476">
        <f>T43/T42</f>
        <v>1.4662066689026669</v>
      </c>
      <c r="U52" s="476">
        <f>U43/U42</f>
        <v>1.5217938659341896</v>
      </c>
      <c r="V52" s="337"/>
      <c r="W52" s="337"/>
      <c r="X52" s="337"/>
      <c r="Y52" s="337"/>
      <c r="Z52" s="337"/>
      <c r="AA52" s="337"/>
    </row>
    <row r="53" spans="1:33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</row>
    <row r="54" spans="1:33">
      <c r="A54" s="304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</row>
  </sheetData>
  <mergeCells count="13">
    <mergeCell ref="Q38:U38"/>
    <mergeCell ref="C30:C34"/>
    <mergeCell ref="O30:O34"/>
    <mergeCell ref="I27:M27"/>
    <mergeCell ref="I30:I34"/>
    <mergeCell ref="E38:I38"/>
    <mergeCell ref="K38:O38"/>
    <mergeCell ref="C19:C23"/>
    <mergeCell ref="E28:G28"/>
    <mergeCell ref="Q28:S28"/>
    <mergeCell ref="K28:M28"/>
    <mergeCell ref="C27:G27"/>
    <mergeCell ref="O27:S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I19"/>
  <sheetViews>
    <sheetView showGridLines="0" zoomScaleNormal="100" workbookViewId="0"/>
  </sheetViews>
  <sheetFormatPr baseColWidth="10" defaultColWidth="10.83203125" defaultRowHeight="14"/>
  <cols>
    <col min="1" max="2" width="3.33203125" style="6" customWidth="1"/>
    <col min="3" max="3" width="29.5" style="6" bestFit="1" customWidth="1"/>
    <col min="4" max="8" width="10.83203125" style="6" customWidth="1"/>
    <col min="9" max="16384" width="10.83203125" style="6"/>
  </cols>
  <sheetData>
    <row r="1" spans="1:8" ht="20" customHeight="1">
      <c r="A1" s="186" t="s">
        <v>56</v>
      </c>
      <c r="B1" s="66"/>
      <c r="C1" s="66"/>
      <c r="D1" s="66"/>
      <c r="E1" s="66"/>
      <c r="F1" s="66"/>
      <c r="G1" s="66"/>
      <c r="H1" s="66"/>
    </row>
    <row r="2" spans="1:8" ht="14" customHeight="1">
      <c r="A2" s="119"/>
      <c r="B2" s="119"/>
      <c r="C2" s="119"/>
      <c r="D2" s="120">
        <f>EDATE($D$5,11)</f>
        <v>45261</v>
      </c>
      <c r="E2" s="120">
        <f>EDATE($D$5,23)</f>
        <v>45627</v>
      </c>
      <c r="F2" s="120">
        <f>EDATE($D$5,35)</f>
        <v>45992</v>
      </c>
      <c r="G2" s="120">
        <f>EDATE($D$5,47)</f>
        <v>46357</v>
      </c>
      <c r="H2" s="120">
        <f>EDATE($D$5,59)</f>
        <v>46722</v>
      </c>
    </row>
    <row r="3" spans="1:8" ht="14" customHeight="1">
      <c r="A3" s="108" t="s">
        <v>65</v>
      </c>
      <c r="B3" s="108"/>
      <c r="C3" s="108"/>
      <c r="D3" s="17"/>
      <c r="E3" s="17"/>
      <c r="F3" s="17"/>
      <c r="G3" s="17"/>
      <c r="H3" s="17"/>
    </row>
    <row r="4" spans="1:8" ht="14" customHeight="1">
      <c r="A4" s="109"/>
      <c r="B4" s="109" t="s">
        <v>23</v>
      </c>
      <c r="C4" s="109"/>
      <c r="D4" s="531" t="str">
        <f>'1) Introducton'!A6</f>
        <v>Vuco World</v>
      </c>
      <c r="E4" s="532"/>
      <c r="F4" s="532"/>
      <c r="G4" s="532"/>
      <c r="H4" s="532"/>
    </row>
    <row r="5" spans="1:8" ht="14" customHeight="1">
      <c r="A5" s="109"/>
      <c r="B5" s="109" t="s">
        <v>24</v>
      </c>
      <c r="C5" s="109"/>
      <c r="D5" s="533">
        <v>44927</v>
      </c>
      <c r="E5" s="533"/>
      <c r="F5" s="533"/>
      <c r="G5" s="533"/>
      <c r="H5" s="533"/>
    </row>
    <row r="6" spans="1:8" ht="14" customHeight="1">
      <c r="A6" s="121"/>
      <c r="B6" s="121" t="s">
        <v>94</v>
      </c>
      <c r="C6" s="121"/>
      <c r="D6" s="534" t="s">
        <v>288</v>
      </c>
      <c r="E6" s="534"/>
      <c r="F6" s="534"/>
      <c r="G6" s="534"/>
      <c r="H6" s="534"/>
    </row>
    <row r="7" spans="1:8" ht="14" customHeight="1">
      <c r="A7" s="108" t="s">
        <v>54</v>
      </c>
      <c r="B7" s="108"/>
      <c r="C7" s="108"/>
      <c r="D7" s="42"/>
      <c r="E7" s="42"/>
      <c r="F7" s="42"/>
      <c r="G7" s="42"/>
      <c r="H7" s="42"/>
    </row>
    <row r="8" spans="1:8" ht="14" customHeight="1">
      <c r="A8" s="116"/>
      <c r="B8" s="121" t="s">
        <v>27</v>
      </c>
      <c r="C8" s="116"/>
      <c r="D8" s="43">
        <v>0.05</v>
      </c>
      <c r="E8" s="43">
        <f>D8</f>
        <v>0.05</v>
      </c>
      <c r="F8" s="43">
        <f t="shared" ref="F8:H8" si="0">E8</f>
        <v>0.05</v>
      </c>
      <c r="G8" s="43">
        <f t="shared" si="0"/>
        <v>0.05</v>
      </c>
      <c r="H8" s="43">
        <f t="shared" si="0"/>
        <v>0.05</v>
      </c>
    </row>
    <row r="9" spans="1:8" ht="14" customHeight="1">
      <c r="A9" s="108" t="s">
        <v>51</v>
      </c>
      <c r="B9" s="108"/>
      <c r="C9" s="108"/>
      <c r="D9" s="17"/>
      <c r="E9" s="17"/>
      <c r="F9" s="17"/>
      <c r="G9" s="17"/>
      <c r="H9" s="17"/>
    </row>
    <row r="10" spans="1:8" ht="14" customHeight="1">
      <c r="A10" s="109"/>
      <c r="B10" s="109" t="s">
        <v>21</v>
      </c>
      <c r="C10" s="109"/>
      <c r="D10" s="44">
        <v>30</v>
      </c>
      <c r="E10" s="44">
        <v>30</v>
      </c>
      <c r="F10" s="44">
        <f t="shared" ref="F10:H10" si="1">E10</f>
        <v>30</v>
      </c>
      <c r="G10" s="44">
        <f t="shared" si="1"/>
        <v>30</v>
      </c>
      <c r="H10" s="44">
        <f t="shared" si="1"/>
        <v>30</v>
      </c>
    </row>
    <row r="11" spans="1:8" ht="14" customHeight="1">
      <c r="A11" s="109"/>
      <c r="B11" s="109"/>
      <c r="C11" s="109" t="s">
        <v>53</v>
      </c>
      <c r="D11" s="24"/>
      <c r="E11" s="24"/>
      <c r="F11" s="24"/>
      <c r="G11" s="24"/>
      <c r="H11" s="24"/>
    </row>
    <row r="12" spans="1:8" ht="14" customHeight="1">
      <c r="A12" s="109"/>
      <c r="B12" s="109" t="s">
        <v>4</v>
      </c>
      <c r="C12" s="109"/>
      <c r="D12" s="44">
        <v>15</v>
      </c>
      <c r="E12" s="44">
        <f>D12</f>
        <v>15</v>
      </c>
      <c r="F12" s="44">
        <f t="shared" ref="F12:H12" si="2">E12</f>
        <v>15</v>
      </c>
      <c r="G12" s="44">
        <f t="shared" si="2"/>
        <v>15</v>
      </c>
      <c r="H12" s="44">
        <f t="shared" si="2"/>
        <v>15</v>
      </c>
    </row>
    <row r="13" spans="1:8" ht="14" customHeight="1">
      <c r="A13" s="109"/>
      <c r="B13" s="109"/>
      <c r="C13" s="109" t="s">
        <v>66</v>
      </c>
      <c r="D13" s="24"/>
      <c r="E13" s="24"/>
      <c r="F13" s="24"/>
      <c r="G13" s="24"/>
      <c r="H13" s="24"/>
    </row>
    <row r="14" spans="1:8" ht="14" customHeight="1">
      <c r="A14" s="109"/>
      <c r="B14" s="109" t="s">
        <v>6</v>
      </c>
      <c r="C14" s="109"/>
      <c r="D14" s="44">
        <v>30</v>
      </c>
      <c r="E14" s="44">
        <f>D14</f>
        <v>30</v>
      </c>
      <c r="F14" s="44">
        <f t="shared" ref="F14:H14" si="3">E14</f>
        <v>30</v>
      </c>
      <c r="G14" s="44">
        <f t="shared" si="3"/>
        <v>30</v>
      </c>
      <c r="H14" s="44">
        <f t="shared" si="3"/>
        <v>30</v>
      </c>
    </row>
    <row r="15" spans="1:8" ht="14" customHeight="1">
      <c r="A15" s="121"/>
      <c r="B15" s="121"/>
      <c r="C15" s="121" t="s">
        <v>53</v>
      </c>
      <c r="D15" s="45"/>
      <c r="E15" s="45"/>
      <c r="F15" s="45"/>
      <c r="G15" s="45"/>
      <c r="H15" s="45"/>
    </row>
    <row r="16" spans="1:8" ht="14" customHeight="1">
      <c r="A16" s="108" t="s">
        <v>52</v>
      </c>
      <c r="B16" s="108"/>
      <c r="C16" s="108"/>
      <c r="D16" s="17"/>
      <c r="E16" s="17"/>
      <c r="F16" s="17"/>
      <c r="G16" s="17"/>
      <c r="H16" s="17"/>
    </row>
    <row r="17" spans="1:9" ht="14" hidden="1" customHeight="1">
      <c r="A17" s="106"/>
      <c r="B17" s="109" t="s">
        <v>22</v>
      </c>
      <c r="C17" s="106"/>
      <c r="D17" s="46">
        <v>0</v>
      </c>
      <c r="E17" s="47"/>
      <c r="F17" s="47"/>
      <c r="G17" s="47"/>
      <c r="H17" s="47"/>
      <c r="I17" s="10"/>
    </row>
    <row r="18" spans="1:9" ht="14" customHeight="1">
      <c r="A18" s="116"/>
      <c r="B18" s="121" t="s">
        <v>52</v>
      </c>
      <c r="C18" s="116"/>
      <c r="D18" s="530">
        <v>0.217</v>
      </c>
      <c r="E18" s="48"/>
      <c r="F18" s="48"/>
      <c r="G18" s="48"/>
      <c r="H18" s="48"/>
      <c r="I18" s="10"/>
    </row>
    <row r="19" spans="1:9">
      <c r="A19" s="10"/>
      <c r="B19" s="10"/>
      <c r="C19" s="10"/>
      <c r="D19" s="49"/>
      <c r="E19" s="50"/>
      <c r="F19" s="50"/>
      <c r="G19" s="50"/>
      <c r="H19" s="50"/>
    </row>
  </sheetData>
  <mergeCells count="3">
    <mergeCell ref="D4:H4"/>
    <mergeCell ref="D5:H5"/>
    <mergeCell ref="D6:H6"/>
  </mergeCells>
  <phoneticPr fontId="5" type="noConversion"/>
  <pageMargins left="0.25" right="0.25" top="0.75" bottom="0.75" header="0.3" footer="0.3"/>
  <pageSetup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F368-D23D-FE4F-BADE-D46223A613F0}">
  <sheetPr>
    <tabColor theme="9"/>
  </sheetPr>
  <dimension ref="A1:AH8"/>
  <sheetViews>
    <sheetView showGridLines="0" zoomScaleNormal="100" workbookViewId="0">
      <selection sqref="A1:I1"/>
    </sheetView>
  </sheetViews>
  <sheetFormatPr baseColWidth="10" defaultColWidth="10.83203125" defaultRowHeight="14"/>
  <cols>
    <col min="1" max="1" width="3.5" style="6" customWidth="1"/>
    <col min="2" max="2" width="17.1640625" style="6" customWidth="1"/>
    <col min="3" max="9" width="11.1640625" style="6" customWidth="1"/>
    <col min="10" max="10" width="3.1640625" style="6" customWidth="1"/>
    <col min="11" max="16384" width="10.83203125" style="6"/>
  </cols>
  <sheetData>
    <row r="1" spans="1:34" customFormat="1" ht="15">
      <c r="A1" s="556" t="s">
        <v>227</v>
      </c>
      <c r="B1" s="556"/>
      <c r="C1" s="556"/>
      <c r="D1" s="556"/>
      <c r="E1" s="556"/>
      <c r="F1" s="556"/>
      <c r="G1" s="556"/>
      <c r="H1" s="556"/>
      <c r="I1" s="556"/>
      <c r="J1" s="347"/>
      <c r="K1" s="551" t="s">
        <v>56</v>
      </c>
      <c r="L1" s="551"/>
      <c r="M1" s="347"/>
      <c r="N1" s="347"/>
      <c r="O1" s="347"/>
      <c r="P1" s="34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customFormat="1" ht="14" customHeight="1">
      <c r="A2" s="256"/>
      <c r="B2" s="63"/>
      <c r="C2" s="569" t="s">
        <v>193</v>
      </c>
      <c r="D2" s="569"/>
      <c r="E2" s="256"/>
      <c r="F2" s="512"/>
      <c r="G2" s="512"/>
      <c r="H2" s="512"/>
      <c r="I2" s="512"/>
      <c r="J2" s="347"/>
      <c r="K2" s="71" t="s">
        <v>193</v>
      </c>
      <c r="L2" s="360">
        <v>0.3</v>
      </c>
      <c r="M2" s="347"/>
      <c r="N2" s="347"/>
      <c r="O2" s="347"/>
      <c r="P2" s="34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>
      <c r="A3" s="256"/>
      <c r="B3" s="63"/>
      <c r="C3" s="250" t="s">
        <v>282</v>
      </c>
      <c r="D3" s="250" t="s">
        <v>283</v>
      </c>
      <c r="E3" s="495">
        <f>Valuation!E9</f>
        <v>45261</v>
      </c>
      <c r="F3" s="495">
        <f>Valuation!F9</f>
        <v>45627</v>
      </c>
      <c r="G3" s="495">
        <f>Valuation!G9</f>
        <v>45992</v>
      </c>
      <c r="H3" s="495">
        <f>Valuation!H9</f>
        <v>46357</v>
      </c>
      <c r="I3" s="495">
        <f>Valuation!I9</f>
        <v>46722</v>
      </c>
    </row>
    <row r="4" spans="1:34" customFormat="1">
      <c r="A4" s="264" t="s">
        <v>193</v>
      </c>
      <c r="B4" s="264"/>
      <c r="C4" s="515">
        <f>L2</f>
        <v>0.3</v>
      </c>
      <c r="D4" s="346">
        <f>-'7) Summary Sources of Funding'!L5</f>
        <v>-30000000</v>
      </c>
      <c r="E4" s="266">
        <v>0</v>
      </c>
      <c r="F4" s="266">
        <v>0</v>
      </c>
      <c r="G4" s="266">
        <v>0</v>
      </c>
      <c r="H4" s="266">
        <v>0</v>
      </c>
      <c r="I4" s="266">
        <v>0</v>
      </c>
      <c r="K4" s="276"/>
    </row>
    <row r="5" spans="1:34" customFormat="1">
      <c r="A5" s="264" t="s">
        <v>228</v>
      </c>
      <c r="B5" s="339"/>
      <c r="C5" s="40"/>
      <c r="D5" s="340"/>
      <c r="E5" s="340">
        <f>'Cash Flow'!C25*$C$4</f>
        <v>1704318.5091021473</v>
      </c>
      <c r="F5" s="340">
        <f>'Cash Flow'!D25*$C$4</f>
        <v>1503512.0354001562</v>
      </c>
      <c r="G5" s="340">
        <f>'Cash Flow'!E25*$C$4</f>
        <v>4811700.2732228553</v>
      </c>
      <c r="H5" s="340">
        <f>'Cash Flow'!F25*$C$4</f>
        <v>13526781.215359734</v>
      </c>
      <c r="I5" s="340">
        <f>'Cash Flow'!G25*$C$4</f>
        <v>35864805.916118883</v>
      </c>
      <c r="K5" s="276"/>
    </row>
    <row r="6" spans="1:34" customFormat="1">
      <c r="A6" s="265" t="s">
        <v>230</v>
      </c>
      <c r="B6" s="341"/>
      <c r="C6" s="513"/>
      <c r="D6" s="342"/>
      <c r="E6" s="342">
        <f>D6+E5</f>
        <v>1704318.5091021473</v>
      </c>
      <c r="F6" s="342">
        <f t="shared" ref="F6:I6" si="0">E6+F5</f>
        <v>3207830.5445023035</v>
      </c>
      <c r="G6" s="342">
        <f t="shared" si="0"/>
        <v>8019530.8177251592</v>
      </c>
      <c r="H6" s="342">
        <f t="shared" si="0"/>
        <v>21546312.033084892</v>
      </c>
      <c r="I6" s="342">
        <f t="shared" si="0"/>
        <v>57411117.949203774</v>
      </c>
      <c r="K6" s="276"/>
    </row>
    <row r="7" spans="1:34" customFormat="1">
      <c r="A7" s="343"/>
      <c r="B7" s="339"/>
      <c r="C7" s="40"/>
      <c r="D7" s="494">
        <f>D4+D5</f>
        <v>-30000000</v>
      </c>
      <c r="E7" s="494">
        <f t="shared" ref="E7:I7" si="1">E4+E5</f>
        <v>1704318.5091021473</v>
      </c>
      <c r="F7" s="494">
        <f t="shared" si="1"/>
        <v>1503512.0354001562</v>
      </c>
      <c r="G7" s="494">
        <f t="shared" si="1"/>
        <v>4811700.2732228553</v>
      </c>
      <c r="H7" s="494">
        <f t="shared" si="1"/>
        <v>13526781.215359734</v>
      </c>
      <c r="I7" s="494">
        <f t="shared" si="1"/>
        <v>35864805.916118883</v>
      </c>
      <c r="K7" s="276"/>
    </row>
    <row r="8" spans="1:34">
      <c r="A8" s="156" t="s">
        <v>229</v>
      </c>
      <c r="B8" s="344"/>
      <c r="C8" s="514"/>
      <c r="D8" s="345"/>
      <c r="E8" s="345">
        <f>IFERROR(IRR(D7:E7,0.1),0)</f>
        <v>-0.94318938302992839</v>
      </c>
      <c r="F8" s="345">
        <f>IFERROR(IRR(D7:F7,0.1),0)</f>
        <v>-0.74593138169965123</v>
      </c>
      <c r="G8" s="345">
        <f>IFERROR(IRR(D7:G7,0.1),0)</f>
        <v>-0.40534206904260262</v>
      </c>
      <c r="H8" s="345">
        <f>IFERROR(IRR(D7:H7,0.1),0)</f>
        <v>-9.1756172976489969E-2</v>
      </c>
      <c r="I8" s="345">
        <f>IFERROR(IRR(D7:I7,0.1),0)</f>
        <v>0.16196036511813428</v>
      </c>
    </row>
  </sheetData>
  <mergeCells count="3">
    <mergeCell ref="A1:I1"/>
    <mergeCell ref="K1:L1"/>
    <mergeCell ref="C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BQ63"/>
  <sheetViews>
    <sheetView showGridLines="0" zoomScaleNormal="100" zoomScalePageLayoutView="110" workbookViewId="0"/>
  </sheetViews>
  <sheetFormatPr baseColWidth="10" defaultColWidth="8.83203125" defaultRowHeight="14"/>
  <cols>
    <col min="1" max="1" width="1.6640625" style="6" customWidth="1"/>
    <col min="2" max="2" width="17.6640625" style="6" bestFit="1" customWidth="1"/>
    <col min="3" max="4" width="9.1640625" style="6" bestFit="1" customWidth="1"/>
    <col min="5" max="7" width="10.1640625" style="6" bestFit="1" customWidth="1"/>
    <col min="8" max="8" width="3.33203125" style="6" customWidth="1"/>
    <col min="9" max="9" width="20.5" style="6" bestFit="1" customWidth="1"/>
    <col min="10" max="69" width="13.33203125" style="6" customWidth="1"/>
    <col min="70" max="16384" width="8.83203125" style="6"/>
  </cols>
  <sheetData>
    <row r="1" spans="1:69" ht="20">
      <c r="A1" s="126" t="s">
        <v>142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</row>
    <row r="2" spans="1:69" ht="15" customHeight="1"/>
    <row r="3" spans="1:69" s="12" customFormat="1">
      <c r="C3" s="30"/>
    </row>
    <row r="4" spans="1:69" s="10" customFormat="1">
      <c r="A4" s="354" t="s">
        <v>293</v>
      </c>
      <c r="B4" s="355"/>
      <c r="C4" s="355"/>
      <c r="D4" s="355"/>
      <c r="E4" s="355"/>
      <c r="F4" s="355"/>
      <c r="G4" s="355"/>
    </row>
    <row r="5" spans="1:69">
      <c r="B5" s="66"/>
      <c r="C5" s="381">
        <f>J5</f>
        <v>45261</v>
      </c>
      <c r="D5" s="381">
        <f>EDATE(C5,12)</f>
        <v>45627</v>
      </c>
      <c r="E5" s="381">
        <f t="shared" ref="E5:G5" si="0">EDATE(D5,12)</f>
        <v>45992</v>
      </c>
      <c r="F5" s="381">
        <f t="shared" si="0"/>
        <v>46357</v>
      </c>
      <c r="G5" s="381">
        <f t="shared" si="0"/>
        <v>46722</v>
      </c>
      <c r="I5" s="133"/>
      <c r="J5" s="535">
        <f>'2) Assumptions'!$D$2</f>
        <v>45261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>
        <f>'2) Assumptions'!$E$2</f>
        <v>45627</v>
      </c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>
        <f>'2) Assumptions'!$F$2</f>
        <v>45992</v>
      </c>
      <c r="AI5" s="535"/>
      <c r="AJ5" s="535"/>
      <c r="AK5" s="535"/>
      <c r="AL5" s="535"/>
      <c r="AM5" s="535"/>
      <c r="AN5" s="535"/>
      <c r="AO5" s="535"/>
      <c r="AP5" s="535"/>
      <c r="AQ5" s="535"/>
      <c r="AR5" s="535"/>
      <c r="AS5" s="535"/>
      <c r="AT5" s="535">
        <f>'2) Assumptions'!G$2</f>
        <v>46357</v>
      </c>
      <c r="AU5" s="535"/>
      <c r="AV5" s="535"/>
      <c r="AW5" s="535"/>
      <c r="AX5" s="535"/>
      <c r="AY5" s="535"/>
      <c r="AZ5" s="535"/>
      <c r="BA5" s="535"/>
      <c r="BB5" s="535"/>
      <c r="BC5" s="535"/>
      <c r="BD5" s="535"/>
      <c r="BE5" s="535"/>
      <c r="BF5" s="535">
        <f>'2) Assumptions'!$H$2</f>
        <v>46722</v>
      </c>
      <c r="BG5" s="535"/>
      <c r="BH5" s="535"/>
      <c r="BI5" s="535"/>
      <c r="BJ5" s="535"/>
      <c r="BK5" s="535"/>
      <c r="BL5" s="535"/>
      <c r="BM5" s="535"/>
      <c r="BN5" s="535"/>
      <c r="BO5" s="535"/>
      <c r="BP5" s="535"/>
      <c r="BQ5" s="535"/>
    </row>
    <row r="6" spans="1:69">
      <c r="B6" s="63" t="s">
        <v>29</v>
      </c>
      <c r="C6" s="61">
        <f>SUM(J12:U12)</f>
        <v>1612076.1988643608</v>
      </c>
      <c r="D6" s="61">
        <f>SUM(V12:AG12)</f>
        <v>3839610.2025314732</v>
      </c>
      <c r="E6" s="61">
        <f>SUM(AH12:AS12)</f>
        <v>9145105.248603832</v>
      </c>
      <c r="F6" s="61">
        <f>SUM(AT12:BE12)</f>
        <v>21781625.112075631</v>
      </c>
      <c r="G6" s="61">
        <f>SUM(BF12:BQ12)</f>
        <v>51879030.325587101</v>
      </c>
      <c r="I6" s="134"/>
      <c r="J6" s="135">
        <f>EDATE('2) Assumptions'!$D$5,0)</f>
        <v>44927</v>
      </c>
      <c r="K6" s="135">
        <f>EDATE('2) Assumptions'!$D$5,1)</f>
        <v>44958</v>
      </c>
      <c r="L6" s="135">
        <f>EDATE('2) Assumptions'!$D$5,2)</f>
        <v>44986</v>
      </c>
      <c r="M6" s="135">
        <f>EDATE('2) Assumptions'!$D$5,3)</f>
        <v>45017</v>
      </c>
      <c r="N6" s="135">
        <f>EDATE('2) Assumptions'!$D$5,4)</f>
        <v>45047</v>
      </c>
      <c r="O6" s="135">
        <f>EDATE('2) Assumptions'!$D$5,5)</f>
        <v>45078</v>
      </c>
      <c r="P6" s="135">
        <f>EDATE('2) Assumptions'!$D$5,6)</f>
        <v>45108</v>
      </c>
      <c r="Q6" s="135">
        <f>EDATE('2) Assumptions'!$D$5,7)</f>
        <v>45139</v>
      </c>
      <c r="R6" s="135">
        <f>EDATE('2) Assumptions'!$D$5,8)</f>
        <v>45170</v>
      </c>
      <c r="S6" s="135">
        <f>EDATE('2) Assumptions'!$D$5,9)</f>
        <v>45200</v>
      </c>
      <c r="T6" s="135">
        <f>EDATE('2) Assumptions'!$D$5,10)</f>
        <v>45231</v>
      </c>
      <c r="U6" s="135">
        <f>EDATE('2) Assumptions'!$D$5,11)</f>
        <v>45261</v>
      </c>
      <c r="V6" s="135">
        <f>EDATE('2) Assumptions'!$D$5,0)</f>
        <v>44927</v>
      </c>
      <c r="W6" s="135">
        <f>EDATE('2) Assumptions'!$D$5,1)</f>
        <v>44958</v>
      </c>
      <c r="X6" s="135">
        <f>EDATE('2) Assumptions'!$D$5,2)</f>
        <v>44986</v>
      </c>
      <c r="Y6" s="135">
        <f>EDATE('2) Assumptions'!$D$5,3)</f>
        <v>45017</v>
      </c>
      <c r="Z6" s="135">
        <f>EDATE('2) Assumptions'!$D$5,4)</f>
        <v>45047</v>
      </c>
      <c r="AA6" s="135">
        <f>EDATE('2) Assumptions'!$D$5,5)</f>
        <v>45078</v>
      </c>
      <c r="AB6" s="135">
        <f>EDATE('2) Assumptions'!$D$5,6)</f>
        <v>45108</v>
      </c>
      <c r="AC6" s="135">
        <f>EDATE('2) Assumptions'!$D$5,7)</f>
        <v>45139</v>
      </c>
      <c r="AD6" s="135">
        <f>EDATE('2) Assumptions'!$D$5,8)</f>
        <v>45170</v>
      </c>
      <c r="AE6" s="135">
        <f>EDATE('2) Assumptions'!$D$5,9)</f>
        <v>45200</v>
      </c>
      <c r="AF6" s="135">
        <f>EDATE('2) Assumptions'!$D$5,10)</f>
        <v>45231</v>
      </c>
      <c r="AG6" s="135">
        <f>EDATE('2) Assumptions'!$D$5,11)</f>
        <v>45261</v>
      </c>
      <c r="AH6" s="135">
        <f>EDATE('2) Assumptions'!$D$5,0)</f>
        <v>44927</v>
      </c>
      <c r="AI6" s="135">
        <f>EDATE('2) Assumptions'!$D$5,1)</f>
        <v>44958</v>
      </c>
      <c r="AJ6" s="135">
        <f>EDATE('2) Assumptions'!$D$5,2)</f>
        <v>44986</v>
      </c>
      <c r="AK6" s="135">
        <f>EDATE('2) Assumptions'!$D$5,3)</f>
        <v>45017</v>
      </c>
      <c r="AL6" s="135">
        <f>EDATE('2) Assumptions'!$D$5,4)</f>
        <v>45047</v>
      </c>
      <c r="AM6" s="135">
        <f>EDATE('2) Assumptions'!$D$5,5)</f>
        <v>45078</v>
      </c>
      <c r="AN6" s="135">
        <f>EDATE('2) Assumptions'!$D$5,6)</f>
        <v>45108</v>
      </c>
      <c r="AO6" s="135">
        <f>EDATE('2) Assumptions'!$D$5,7)</f>
        <v>45139</v>
      </c>
      <c r="AP6" s="135">
        <f>EDATE('2) Assumptions'!$D$5,8)</f>
        <v>45170</v>
      </c>
      <c r="AQ6" s="135">
        <f>EDATE('2) Assumptions'!$D$5,9)</f>
        <v>45200</v>
      </c>
      <c r="AR6" s="135">
        <f>EDATE('2) Assumptions'!$D$5,10)</f>
        <v>45231</v>
      </c>
      <c r="AS6" s="135">
        <f>EDATE('2) Assumptions'!$D$5,11)</f>
        <v>45261</v>
      </c>
      <c r="AT6" s="135">
        <f>EDATE('2) Assumptions'!$D$5,0)</f>
        <v>44927</v>
      </c>
      <c r="AU6" s="135">
        <f>EDATE('2) Assumptions'!$D$5,1)</f>
        <v>44958</v>
      </c>
      <c r="AV6" s="135">
        <f>EDATE('2) Assumptions'!$D$5,2)</f>
        <v>44986</v>
      </c>
      <c r="AW6" s="135">
        <f>EDATE('2) Assumptions'!$D$5,3)</f>
        <v>45017</v>
      </c>
      <c r="AX6" s="135">
        <f>EDATE('2) Assumptions'!$D$5,4)</f>
        <v>45047</v>
      </c>
      <c r="AY6" s="135">
        <f>EDATE('2) Assumptions'!$D$5,5)</f>
        <v>45078</v>
      </c>
      <c r="AZ6" s="135">
        <f>EDATE('2) Assumptions'!$D$5,6)</f>
        <v>45108</v>
      </c>
      <c r="BA6" s="135">
        <f>EDATE('2) Assumptions'!$D$5,7)</f>
        <v>45139</v>
      </c>
      <c r="BB6" s="135">
        <f>EDATE('2) Assumptions'!$D$5,8)</f>
        <v>45170</v>
      </c>
      <c r="BC6" s="135">
        <f>EDATE('2) Assumptions'!$D$5,9)</f>
        <v>45200</v>
      </c>
      <c r="BD6" s="135">
        <f>EDATE('2) Assumptions'!$D$5,10)</f>
        <v>45231</v>
      </c>
      <c r="BE6" s="135">
        <f>EDATE('2) Assumptions'!$D$5,11)</f>
        <v>45261</v>
      </c>
      <c r="BF6" s="135">
        <f>EDATE('2) Assumptions'!$D$5,0)</f>
        <v>44927</v>
      </c>
      <c r="BG6" s="135">
        <f>EDATE('2) Assumptions'!$D$5,1)</f>
        <v>44958</v>
      </c>
      <c r="BH6" s="135">
        <f>EDATE('2) Assumptions'!$D$5,2)</f>
        <v>44986</v>
      </c>
      <c r="BI6" s="135">
        <f>EDATE('2) Assumptions'!$D$5,3)</f>
        <v>45017</v>
      </c>
      <c r="BJ6" s="135">
        <f>EDATE('2) Assumptions'!$D$5,4)</f>
        <v>45047</v>
      </c>
      <c r="BK6" s="135">
        <f>EDATE('2) Assumptions'!$D$5,5)</f>
        <v>45078</v>
      </c>
      <c r="BL6" s="135">
        <f>EDATE('2) Assumptions'!$D$5,6)</f>
        <v>45108</v>
      </c>
      <c r="BM6" s="135">
        <f>EDATE('2) Assumptions'!$D$5,7)</f>
        <v>45139</v>
      </c>
      <c r="BN6" s="135">
        <f>EDATE('2) Assumptions'!$D$5,8)</f>
        <v>45170</v>
      </c>
      <c r="BO6" s="135">
        <f>EDATE('2) Assumptions'!$D$5,9)</f>
        <v>45200</v>
      </c>
      <c r="BP6" s="135">
        <f>EDATE('2) Assumptions'!$D$5,10)</f>
        <v>45231</v>
      </c>
      <c r="BQ6" s="135">
        <f>EDATE('2) Assumptions'!$D$5,11)</f>
        <v>45261</v>
      </c>
    </row>
    <row r="7" spans="1:69">
      <c r="B7" s="63" t="s">
        <v>296</v>
      </c>
      <c r="C7" s="61">
        <f>SUM(J16:U16)</f>
        <v>161207.61988643609</v>
      </c>
      <c r="D7" s="61">
        <f>SUM(V16:AG16)</f>
        <v>383961.02025314741</v>
      </c>
      <c r="E7" s="61">
        <f>SUM(AH16:AS16)</f>
        <v>914510.52486038313</v>
      </c>
      <c r="F7" s="61">
        <f>SUM(AT16:BE16)</f>
        <v>2178162.5112075638</v>
      </c>
      <c r="G7" s="61">
        <f>SUM(BF16:BQ16)</f>
        <v>5187903.0325587103</v>
      </c>
      <c r="H7" s="18"/>
      <c r="I7" s="63" t="s">
        <v>137</v>
      </c>
      <c r="J7" s="270"/>
      <c r="K7" s="183">
        <v>7.4999999999999997E-2</v>
      </c>
      <c r="L7" s="183">
        <f>K7</f>
        <v>7.4999999999999997E-2</v>
      </c>
      <c r="M7" s="183">
        <f t="shared" ref="M7:BQ7" si="1">L7</f>
        <v>7.4999999999999997E-2</v>
      </c>
      <c r="N7" s="183">
        <f t="shared" si="1"/>
        <v>7.4999999999999997E-2</v>
      </c>
      <c r="O7" s="183">
        <f t="shared" si="1"/>
        <v>7.4999999999999997E-2</v>
      </c>
      <c r="P7" s="183">
        <f t="shared" si="1"/>
        <v>7.4999999999999997E-2</v>
      </c>
      <c r="Q7" s="183">
        <f t="shared" si="1"/>
        <v>7.4999999999999997E-2</v>
      </c>
      <c r="R7" s="183">
        <f t="shared" si="1"/>
        <v>7.4999999999999997E-2</v>
      </c>
      <c r="S7" s="183">
        <f t="shared" si="1"/>
        <v>7.4999999999999997E-2</v>
      </c>
      <c r="T7" s="183">
        <f t="shared" si="1"/>
        <v>7.4999999999999997E-2</v>
      </c>
      <c r="U7" s="183">
        <f t="shared" si="1"/>
        <v>7.4999999999999997E-2</v>
      </c>
      <c r="V7" s="183">
        <f t="shared" si="1"/>
        <v>7.4999999999999997E-2</v>
      </c>
      <c r="W7" s="183">
        <f t="shared" si="1"/>
        <v>7.4999999999999997E-2</v>
      </c>
      <c r="X7" s="183">
        <f t="shared" si="1"/>
        <v>7.4999999999999997E-2</v>
      </c>
      <c r="Y7" s="183">
        <f t="shared" si="1"/>
        <v>7.4999999999999997E-2</v>
      </c>
      <c r="Z7" s="183">
        <f t="shared" si="1"/>
        <v>7.4999999999999997E-2</v>
      </c>
      <c r="AA7" s="183">
        <f t="shared" si="1"/>
        <v>7.4999999999999997E-2</v>
      </c>
      <c r="AB7" s="183">
        <f t="shared" si="1"/>
        <v>7.4999999999999997E-2</v>
      </c>
      <c r="AC7" s="183">
        <f t="shared" si="1"/>
        <v>7.4999999999999997E-2</v>
      </c>
      <c r="AD7" s="183">
        <f t="shared" si="1"/>
        <v>7.4999999999999997E-2</v>
      </c>
      <c r="AE7" s="183">
        <f t="shared" si="1"/>
        <v>7.4999999999999997E-2</v>
      </c>
      <c r="AF7" s="183">
        <f t="shared" si="1"/>
        <v>7.4999999999999997E-2</v>
      </c>
      <c r="AG7" s="183">
        <f t="shared" si="1"/>
        <v>7.4999999999999997E-2</v>
      </c>
      <c r="AH7" s="183">
        <f t="shared" si="1"/>
        <v>7.4999999999999997E-2</v>
      </c>
      <c r="AI7" s="183">
        <f t="shared" si="1"/>
        <v>7.4999999999999997E-2</v>
      </c>
      <c r="AJ7" s="183">
        <f t="shared" si="1"/>
        <v>7.4999999999999997E-2</v>
      </c>
      <c r="AK7" s="183">
        <f t="shared" si="1"/>
        <v>7.4999999999999997E-2</v>
      </c>
      <c r="AL7" s="183">
        <f t="shared" si="1"/>
        <v>7.4999999999999997E-2</v>
      </c>
      <c r="AM7" s="183">
        <f t="shared" si="1"/>
        <v>7.4999999999999997E-2</v>
      </c>
      <c r="AN7" s="183">
        <f t="shared" si="1"/>
        <v>7.4999999999999997E-2</v>
      </c>
      <c r="AO7" s="183">
        <f t="shared" si="1"/>
        <v>7.4999999999999997E-2</v>
      </c>
      <c r="AP7" s="183">
        <f t="shared" si="1"/>
        <v>7.4999999999999997E-2</v>
      </c>
      <c r="AQ7" s="183">
        <f t="shared" si="1"/>
        <v>7.4999999999999997E-2</v>
      </c>
      <c r="AR7" s="183">
        <f t="shared" si="1"/>
        <v>7.4999999999999997E-2</v>
      </c>
      <c r="AS7" s="183">
        <f t="shared" si="1"/>
        <v>7.4999999999999997E-2</v>
      </c>
      <c r="AT7" s="183">
        <f t="shared" si="1"/>
        <v>7.4999999999999997E-2</v>
      </c>
      <c r="AU7" s="183">
        <f t="shared" si="1"/>
        <v>7.4999999999999997E-2</v>
      </c>
      <c r="AV7" s="183">
        <f t="shared" si="1"/>
        <v>7.4999999999999997E-2</v>
      </c>
      <c r="AW7" s="183">
        <f t="shared" si="1"/>
        <v>7.4999999999999997E-2</v>
      </c>
      <c r="AX7" s="183">
        <f t="shared" si="1"/>
        <v>7.4999999999999997E-2</v>
      </c>
      <c r="AY7" s="183">
        <f t="shared" si="1"/>
        <v>7.4999999999999997E-2</v>
      </c>
      <c r="AZ7" s="183">
        <f t="shared" si="1"/>
        <v>7.4999999999999997E-2</v>
      </c>
      <c r="BA7" s="183">
        <f t="shared" si="1"/>
        <v>7.4999999999999997E-2</v>
      </c>
      <c r="BB7" s="183">
        <f t="shared" si="1"/>
        <v>7.4999999999999997E-2</v>
      </c>
      <c r="BC7" s="183">
        <f t="shared" si="1"/>
        <v>7.4999999999999997E-2</v>
      </c>
      <c r="BD7" s="183">
        <f t="shared" si="1"/>
        <v>7.4999999999999997E-2</v>
      </c>
      <c r="BE7" s="183">
        <f t="shared" si="1"/>
        <v>7.4999999999999997E-2</v>
      </c>
      <c r="BF7" s="183">
        <f t="shared" si="1"/>
        <v>7.4999999999999997E-2</v>
      </c>
      <c r="BG7" s="183">
        <f t="shared" si="1"/>
        <v>7.4999999999999997E-2</v>
      </c>
      <c r="BH7" s="183">
        <f t="shared" si="1"/>
        <v>7.4999999999999997E-2</v>
      </c>
      <c r="BI7" s="183">
        <f t="shared" si="1"/>
        <v>7.4999999999999997E-2</v>
      </c>
      <c r="BJ7" s="183">
        <f t="shared" si="1"/>
        <v>7.4999999999999997E-2</v>
      </c>
      <c r="BK7" s="183">
        <f t="shared" si="1"/>
        <v>7.4999999999999997E-2</v>
      </c>
      <c r="BL7" s="183">
        <f t="shared" si="1"/>
        <v>7.4999999999999997E-2</v>
      </c>
      <c r="BM7" s="183">
        <f t="shared" si="1"/>
        <v>7.4999999999999997E-2</v>
      </c>
      <c r="BN7" s="183">
        <f t="shared" si="1"/>
        <v>7.4999999999999997E-2</v>
      </c>
      <c r="BO7" s="183">
        <f t="shared" si="1"/>
        <v>7.4999999999999997E-2</v>
      </c>
      <c r="BP7" s="183">
        <f t="shared" si="1"/>
        <v>7.4999999999999997E-2</v>
      </c>
      <c r="BQ7" s="183">
        <f t="shared" si="1"/>
        <v>7.4999999999999997E-2</v>
      </c>
    </row>
    <row r="8" spans="1:69">
      <c r="E8" s="61"/>
      <c r="F8" s="61"/>
      <c r="G8" s="61"/>
      <c r="I8" s="109" t="s">
        <v>294</v>
      </c>
      <c r="J8" s="268">
        <v>25000</v>
      </c>
      <c r="K8" s="166">
        <f t="shared" ref="K8" si="2">J8*(1+K7)</f>
        <v>26875</v>
      </c>
      <c r="L8" s="166">
        <f t="shared" ref="L8" si="3">K8*(1+L7)</f>
        <v>28890.625</v>
      </c>
      <c r="M8" s="166">
        <f t="shared" ref="M8" si="4">L8*(1+M7)</f>
        <v>31057.421875</v>
      </c>
      <c r="N8" s="166">
        <f t="shared" ref="N8" si="5">M8*(1+N7)</f>
        <v>33386.728515625</v>
      </c>
      <c r="O8" s="166">
        <f t="shared" ref="O8" si="6">N8*(1+O7)</f>
        <v>35890.733154296875</v>
      </c>
      <c r="P8" s="166">
        <f t="shared" ref="P8" si="7">O8*(1+P7)</f>
        <v>38582.538140869139</v>
      </c>
      <c r="Q8" s="166">
        <f t="shared" ref="Q8" si="8">P8*(1+Q7)</f>
        <v>41476.228501434322</v>
      </c>
      <c r="R8" s="166">
        <f t="shared" ref="R8" si="9">Q8*(1+R7)</f>
        <v>44586.945639041893</v>
      </c>
      <c r="S8" s="166">
        <f t="shared" ref="S8" si="10">R8*(1+S7)</f>
        <v>47930.966561970032</v>
      </c>
      <c r="T8" s="166">
        <f t="shared" ref="T8" si="11">S8*(1+T7)</f>
        <v>51525.789054117784</v>
      </c>
      <c r="U8" s="166">
        <f t="shared" ref="U8" si="12">T8*(1+U7)</f>
        <v>55390.223233176614</v>
      </c>
      <c r="V8" s="166">
        <f t="shared" ref="V8" si="13">U8*(1+V7)</f>
        <v>59544.489975664859</v>
      </c>
      <c r="W8" s="166">
        <f t="shared" ref="W8" si="14">V8*(1+W7)</f>
        <v>64010.326723839724</v>
      </c>
      <c r="X8" s="166">
        <f t="shared" ref="X8" si="15">W8*(1+X7)</f>
        <v>68811.101228127707</v>
      </c>
      <c r="Y8" s="166">
        <f t="shared" ref="Y8" si="16">X8*(1+Y7)</f>
        <v>73971.933820237289</v>
      </c>
      <c r="Z8" s="166">
        <f t="shared" ref="Z8" si="17">Y8*(1+Z7)</f>
        <v>79519.828856755077</v>
      </c>
      <c r="AA8" s="166">
        <f t="shared" ref="AA8" si="18">Z8*(1+AA7)</f>
        <v>85483.816021011706</v>
      </c>
      <c r="AB8" s="166">
        <f t="shared" ref="AB8" si="19">AA8*(1+AB7)</f>
        <v>91895.102222587579</v>
      </c>
      <c r="AC8" s="166">
        <f t="shared" ref="AC8" si="20">AB8*(1+AC7)</f>
        <v>98787.234889281637</v>
      </c>
      <c r="AD8" s="166">
        <f t="shared" ref="AD8" si="21">AC8*(1+AD7)</f>
        <v>106196.27750597775</v>
      </c>
      <c r="AE8" s="166">
        <f t="shared" ref="AE8" si="22">AD8*(1+AE7)</f>
        <v>114160.99831892608</v>
      </c>
      <c r="AF8" s="166">
        <f t="shared" ref="AF8" si="23">AE8*(1+AF7)</f>
        <v>122723.07319284554</v>
      </c>
      <c r="AG8" s="166">
        <f t="shared" ref="AG8" si="24">AF8*(1+AG7)</f>
        <v>131927.30368230894</v>
      </c>
      <c r="AH8" s="166">
        <f t="shared" ref="AH8" si="25">AG8*(1+AH7)</f>
        <v>141821.8514584821</v>
      </c>
      <c r="AI8" s="166">
        <f t="shared" ref="AI8" si="26">AH8*(1+AI7)</f>
        <v>152458.49031786824</v>
      </c>
      <c r="AJ8" s="166">
        <f t="shared" ref="AJ8" si="27">AI8*(1+AJ7)</f>
        <v>163892.87709170836</v>
      </c>
      <c r="AK8" s="166">
        <f t="shared" ref="AK8" si="28">AJ8*(1+AK7)</f>
        <v>176184.84287358649</v>
      </c>
      <c r="AL8" s="166">
        <f t="shared" ref="AL8" si="29">AK8*(1+AL7)</f>
        <v>189398.70608910546</v>
      </c>
      <c r="AM8" s="166">
        <f t="shared" ref="AM8" si="30">AL8*(1+AM7)</f>
        <v>203603.60904578835</v>
      </c>
      <c r="AN8" s="166">
        <f t="shared" ref="AN8" si="31">AM8*(1+AN7)</f>
        <v>218873.87972422247</v>
      </c>
      <c r="AO8" s="166">
        <f t="shared" ref="AO8" si="32">AN8*(1+AO7)</f>
        <v>235289.42070353913</v>
      </c>
      <c r="AP8" s="166">
        <f t="shared" ref="AP8" si="33">AO8*(1+AP7)</f>
        <v>252936.12725630455</v>
      </c>
      <c r="AQ8" s="166">
        <f t="shared" ref="AQ8" si="34">AP8*(1+AQ7)</f>
        <v>271906.33680052735</v>
      </c>
      <c r="AR8" s="166">
        <f t="shared" ref="AR8" si="35">AQ8*(1+AR7)</f>
        <v>292299.31206056691</v>
      </c>
      <c r="AS8" s="166">
        <f t="shared" ref="AS8" si="36">AR8*(1+AS7)</f>
        <v>314221.76046510943</v>
      </c>
      <c r="AT8" s="166">
        <f t="shared" ref="AT8" si="37">AS8*(1+AT7)</f>
        <v>337788.39249999262</v>
      </c>
      <c r="AU8" s="166">
        <f t="shared" ref="AU8" si="38">AT8*(1+AU7)</f>
        <v>363122.52193749207</v>
      </c>
      <c r="AV8" s="166">
        <f t="shared" ref="AV8" si="39">AU8*(1+AV7)</f>
        <v>390356.71108280396</v>
      </c>
      <c r="AW8" s="166">
        <f t="shared" ref="AW8" si="40">AV8*(1+AW7)</f>
        <v>419633.46441401425</v>
      </c>
      <c r="AX8" s="166">
        <f t="shared" ref="AX8" si="41">AW8*(1+AX7)</f>
        <v>451105.9742450653</v>
      </c>
      <c r="AY8" s="166">
        <f t="shared" ref="AY8" si="42">AX8*(1+AY7)</f>
        <v>484938.92231344519</v>
      </c>
      <c r="AZ8" s="166">
        <f t="shared" ref="AZ8" si="43">AY8*(1+AZ7)</f>
        <v>521309.34148695355</v>
      </c>
      <c r="BA8" s="166">
        <f t="shared" ref="BA8" si="44">AZ8*(1+BA7)</f>
        <v>560407.54209847504</v>
      </c>
      <c r="BB8" s="166">
        <f t="shared" ref="BB8" si="45">BA8*(1+BB7)</f>
        <v>602438.10775586066</v>
      </c>
      <c r="BC8" s="166">
        <f t="shared" ref="BC8" si="46">BB8*(1+BC7)</f>
        <v>647620.96583755023</v>
      </c>
      <c r="BD8" s="166">
        <f t="shared" ref="BD8" si="47">BC8*(1+BD7)</f>
        <v>696192.53827536642</v>
      </c>
      <c r="BE8" s="166">
        <f t="shared" ref="BE8" si="48">BD8*(1+BE7)</f>
        <v>748406.97864601889</v>
      </c>
      <c r="BF8" s="166">
        <f t="shared" ref="BF8" si="49">BE8*(1+BF7)</f>
        <v>804537.50204447028</v>
      </c>
      <c r="BG8" s="166">
        <f t="shared" ref="BG8" si="50">BF8*(1+BG7)</f>
        <v>864877.81469780556</v>
      </c>
      <c r="BH8" s="166">
        <f t="shared" ref="BH8" si="51">BG8*(1+BH7)</f>
        <v>929743.65080014092</v>
      </c>
      <c r="BI8" s="166">
        <f t="shared" ref="BI8" si="52">BH8*(1+BI7)</f>
        <v>999474.42461015144</v>
      </c>
      <c r="BJ8" s="166">
        <f t="shared" ref="BJ8" si="53">BI8*(1+BJ7)</f>
        <v>1074435.0064559127</v>
      </c>
      <c r="BK8" s="166">
        <f t="shared" ref="BK8" si="54">BJ8*(1+BK7)</f>
        <v>1155017.6319401062</v>
      </c>
      <c r="BL8" s="166">
        <f t="shared" ref="BL8" si="55">BK8*(1+BL7)</f>
        <v>1241643.9543356141</v>
      </c>
      <c r="BM8" s="166">
        <f t="shared" ref="BM8" si="56">BL8*(1+BM7)</f>
        <v>1334767.250910785</v>
      </c>
      <c r="BN8" s="166">
        <f t="shared" ref="BN8" si="57">BM8*(1+BN7)</f>
        <v>1434874.7947290938</v>
      </c>
      <c r="BO8" s="166">
        <f t="shared" ref="BO8" si="58">BN8*(1+BO7)</f>
        <v>1542490.4043337759</v>
      </c>
      <c r="BP8" s="166">
        <f t="shared" ref="BP8" si="59">BO8*(1+BP7)</f>
        <v>1658177.1846588091</v>
      </c>
      <c r="BQ8" s="166">
        <f t="shared" ref="BQ8" si="60">BP8*(1+BQ7)</f>
        <v>1782540.4735082197</v>
      </c>
    </row>
    <row r="9" spans="1:69">
      <c r="E9" s="61"/>
      <c r="F9" s="61"/>
      <c r="G9" s="61"/>
      <c r="H9" s="59"/>
      <c r="I9" s="63"/>
      <c r="J9" s="8"/>
    </row>
    <row r="10" spans="1:69">
      <c r="E10" s="61"/>
      <c r="F10" s="61"/>
      <c r="G10" s="61"/>
      <c r="I10" s="173" t="s">
        <v>298</v>
      </c>
      <c r="J10" s="529">
        <v>3.5</v>
      </c>
      <c r="K10" s="166">
        <f>J10</f>
        <v>3.5</v>
      </c>
      <c r="L10" s="166">
        <f t="shared" ref="L10:BQ10" si="61">K10</f>
        <v>3.5</v>
      </c>
      <c r="M10" s="166">
        <f t="shared" si="61"/>
        <v>3.5</v>
      </c>
      <c r="N10" s="166">
        <f t="shared" si="61"/>
        <v>3.5</v>
      </c>
      <c r="O10" s="166">
        <f t="shared" si="61"/>
        <v>3.5</v>
      </c>
      <c r="P10" s="166">
        <f t="shared" si="61"/>
        <v>3.5</v>
      </c>
      <c r="Q10" s="166">
        <f t="shared" si="61"/>
        <v>3.5</v>
      </c>
      <c r="R10" s="166">
        <f t="shared" si="61"/>
        <v>3.5</v>
      </c>
      <c r="S10" s="166">
        <f t="shared" si="61"/>
        <v>3.5</v>
      </c>
      <c r="T10" s="166">
        <f t="shared" si="61"/>
        <v>3.5</v>
      </c>
      <c r="U10" s="166">
        <f t="shared" si="61"/>
        <v>3.5</v>
      </c>
      <c r="V10" s="166">
        <f t="shared" si="61"/>
        <v>3.5</v>
      </c>
      <c r="W10" s="166">
        <f t="shared" si="61"/>
        <v>3.5</v>
      </c>
      <c r="X10" s="166">
        <f t="shared" si="61"/>
        <v>3.5</v>
      </c>
      <c r="Y10" s="166">
        <f t="shared" si="61"/>
        <v>3.5</v>
      </c>
      <c r="Z10" s="166">
        <f t="shared" si="61"/>
        <v>3.5</v>
      </c>
      <c r="AA10" s="166">
        <f t="shared" si="61"/>
        <v>3.5</v>
      </c>
      <c r="AB10" s="166">
        <f t="shared" si="61"/>
        <v>3.5</v>
      </c>
      <c r="AC10" s="166">
        <f t="shared" si="61"/>
        <v>3.5</v>
      </c>
      <c r="AD10" s="166">
        <f t="shared" si="61"/>
        <v>3.5</v>
      </c>
      <c r="AE10" s="166">
        <f t="shared" si="61"/>
        <v>3.5</v>
      </c>
      <c r="AF10" s="166">
        <f t="shared" si="61"/>
        <v>3.5</v>
      </c>
      <c r="AG10" s="166">
        <f t="shared" si="61"/>
        <v>3.5</v>
      </c>
      <c r="AH10" s="166">
        <f t="shared" si="61"/>
        <v>3.5</v>
      </c>
      <c r="AI10" s="166">
        <f t="shared" si="61"/>
        <v>3.5</v>
      </c>
      <c r="AJ10" s="166">
        <f t="shared" si="61"/>
        <v>3.5</v>
      </c>
      <c r="AK10" s="166">
        <f t="shared" si="61"/>
        <v>3.5</v>
      </c>
      <c r="AL10" s="166">
        <f t="shared" si="61"/>
        <v>3.5</v>
      </c>
      <c r="AM10" s="166">
        <f t="shared" si="61"/>
        <v>3.5</v>
      </c>
      <c r="AN10" s="166">
        <f t="shared" si="61"/>
        <v>3.5</v>
      </c>
      <c r="AO10" s="166">
        <f t="shared" si="61"/>
        <v>3.5</v>
      </c>
      <c r="AP10" s="166">
        <f t="shared" si="61"/>
        <v>3.5</v>
      </c>
      <c r="AQ10" s="166">
        <f t="shared" si="61"/>
        <v>3.5</v>
      </c>
      <c r="AR10" s="166">
        <f t="shared" si="61"/>
        <v>3.5</v>
      </c>
      <c r="AS10" s="166">
        <f t="shared" si="61"/>
        <v>3.5</v>
      </c>
      <c r="AT10" s="166">
        <f t="shared" si="61"/>
        <v>3.5</v>
      </c>
      <c r="AU10" s="166">
        <f t="shared" si="61"/>
        <v>3.5</v>
      </c>
      <c r="AV10" s="166">
        <f t="shared" si="61"/>
        <v>3.5</v>
      </c>
      <c r="AW10" s="166">
        <f t="shared" si="61"/>
        <v>3.5</v>
      </c>
      <c r="AX10" s="166">
        <f t="shared" si="61"/>
        <v>3.5</v>
      </c>
      <c r="AY10" s="166">
        <f t="shared" si="61"/>
        <v>3.5</v>
      </c>
      <c r="AZ10" s="166">
        <f t="shared" si="61"/>
        <v>3.5</v>
      </c>
      <c r="BA10" s="166">
        <f t="shared" si="61"/>
        <v>3.5</v>
      </c>
      <c r="BB10" s="166">
        <f t="shared" si="61"/>
        <v>3.5</v>
      </c>
      <c r="BC10" s="166">
        <f t="shared" si="61"/>
        <v>3.5</v>
      </c>
      <c r="BD10" s="166">
        <f t="shared" si="61"/>
        <v>3.5</v>
      </c>
      <c r="BE10" s="166">
        <f t="shared" si="61"/>
        <v>3.5</v>
      </c>
      <c r="BF10" s="166">
        <f t="shared" si="61"/>
        <v>3.5</v>
      </c>
      <c r="BG10" s="166">
        <f t="shared" si="61"/>
        <v>3.5</v>
      </c>
      <c r="BH10" s="166">
        <f t="shared" si="61"/>
        <v>3.5</v>
      </c>
      <c r="BI10" s="166">
        <f t="shared" si="61"/>
        <v>3.5</v>
      </c>
      <c r="BJ10" s="166">
        <f t="shared" si="61"/>
        <v>3.5</v>
      </c>
      <c r="BK10" s="166">
        <f t="shared" si="61"/>
        <v>3.5</v>
      </c>
      <c r="BL10" s="166">
        <f t="shared" si="61"/>
        <v>3.5</v>
      </c>
      <c r="BM10" s="166">
        <f t="shared" si="61"/>
        <v>3.5</v>
      </c>
      <c r="BN10" s="166">
        <f t="shared" si="61"/>
        <v>3.5</v>
      </c>
      <c r="BO10" s="166">
        <f t="shared" si="61"/>
        <v>3.5</v>
      </c>
      <c r="BP10" s="166">
        <f t="shared" si="61"/>
        <v>3.5</v>
      </c>
      <c r="BQ10" s="166">
        <f t="shared" si="61"/>
        <v>3.5</v>
      </c>
    </row>
    <row r="11" spans="1:69">
      <c r="E11" s="61"/>
      <c r="F11" s="61"/>
      <c r="G11" s="61"/>
      <c r="I11" s="173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</row>
    <row r="12" spans="1:69">
      <c r="I12" s="269" t="s">
        <v>29</v>
      </c>
      <c r="J12" s="167">
        <f t="shared" ref="J12:AO12" si="62">J10*J8</f>
        <v>87500</v>
      </c>
      <c r="K12" s="167">
        <f t="shared" si="62"/>
        <v>94062.5</v>
      </c>
      <c r="L12" s="167">
        <f t="shared" si="62"/>
        <v>101117.1875</v>
      </c>
      <c r="M12" s="167">
        <f t="shared" si="62"/>
        <v>108700.9765625</v>
      </c>
      <c r="N12" s="167">
        <f t="shared" si="62"/>
        <v>116853.5498046875</v>
      </c>
      <c r="O12" s="167">
        <f t="shared" si="62"/>
        <v>125617.56604003906</v>
      </c>
      <c r="P12" s="167">
        <f t="shared" si="62"/>
        <v>135038.883493042</v>
      </c>
      <c r="Q12" s="167">
        <f t="shared" si="62"/>
        <v>145166.79975502013</v>
      </c>
      <c r="R12" s="167">
        <f t="shared" si="62"/>
        <v>156054.30973664662</v>
      </c>
      <c r="S12" s="167">
        <f t="shared" si="62"/>
        <v>167758.38296689512</v>
      </c>
      <c r="T12" s="167">
        <f t="shared" si="62"/>
        <v>180340.26168941223</v>
      </c>
      <c r="U12" s="167">
        <f t="shared" si="62"/>
        <v>193865.78131611814</v>
      </c>
      <c r="V12" s="167">
        <f t="shared" si="62"/>
        <v>208405.714914827</v>
      </c>
      <c r="W12" s="167">
        <f t="shared" si="62"/>
        <v>224036.14353343903</v>
      </c>
      <c r="X12" s="167">
        <f t="shared" si="62"/>
        <v>240838.85429844697</v>
      </c>
      <c r="Y12" s="167">
        <f t="shared" si="62"/>
        <v>258901.76837083051</v>
      </c>
      <c r="Z12" s="167">
        <f t="shared" si="62"/>
        <v>278319.40099864278</v>
      </c>
      <c r="AA12" s="167">
        <f t="shared" si="62"/>
        <v>299193.35607354098</v>
      </c>
      <c r="AB12" s="167">
        <f t="shared" si="62"/>
        <v>321632.85777905653</v>
      </c>
      <c r="AC12" s="167">
        <f t="shared" si="62"/>
        <v>345755.32211248571</v>
      </c>
      <c r="AD12" s="167">
        <f t="shared" si="62"/>
        <v>371686.97127092211</v>
      </c>
      <c r="AE12" s="167">
        <f t="shared" si="62"/>
        <v>399563.49411624129</v>
      </c>
      <c r="AF12" s="167">
        <f t="shared" si="62"/>
        <v>429530.75617495936</v>
      </c>
      <c r="AG12" s="167">
        <f t="shared" si="62"/>
        <v>461745.5628880813</v>
      </c>
      <c r="AH12" s="167">
        <f t="shared" si="62"/>
        <v>496376.48010468733</v>
      </c>
      <c r="AI12" s="167">
        <f t="shared" si="62"/>
        <v>533604.71611253882</v>
      </c>
      <c r="AJ12" s="167">
        <f t="shared" si="62"/>
        <v>573625.06982097926</v>
      </c>
      <c r="AK12" s="167">
        <f t="shared" si="62"/>
        <v>616646.95005755266</v>
      </c>
      <c r="AL12" s="167">
        <f t="shared" si="62"/>
        <v>662895.4713118691</v>
      </c>
      <c r="AM12" s="167">
        <f t="shared" si="62"/>
        <v>712612.63166025921</v>
      </c>
      <c r="AN12" s="167">
        <f t="shared" si="62"/>
        <v>766058.57903477864</v>
      </c>
      <c r="AO12" s="167">
        <f t="shared" si="62"/>
        <v>823512.97246238694</v>
      </c>
      <c r="AP12" s="167">
        <f t="shared" ref="AP12:BQ12" si="63">AP10*AP8</f>
        <v>885276.44539706595</v>
      </c>
      <c r="AQ12" s="167">
        <f t="shared" si="63"/>
        <v>951672.17880184576</v>
      </c>
      <c r="AR12" s="167">
        <f t="shared" si="63"/>
        <v>1023047.5922119842</v>
      </c>
      <c r="AS12" s="167">
        <f t="shared" si="63"/>
        <v>1099776.1616278831</v>
      </c>
      <c r="AT12" s="167">
        <f t="shared" si="63"/>
        <v>1182259.3737499742</v>
      </c>
      <c r="AU12" s="167">
        <f t="shared" si="63"/>
        <v>1270928.8267812221</v>
      </c>
      <c r="AV12" s="167">
        <f t="shared" si="63"/>
        <v>1366248.4887898138</v>
      </c>
      <c r="AW12" s="167">
        <f t="shared" si="63"/>
        <v>1468717.1254490498</v>
      </c>
      <c r="AX12" s="167">
        <f t="shared" si="63"/>
        <v>1578870.9098577285</v>
      </c>
      <c r="AY12" s="167">
        <f t="shared" si="63"/>
        <v>1697286.2280970581</v>
      </c>
      <c r="AZ12" s="167">
        <f t="shared" si="63"/>
        <v>1824582.6952043374</v>
      </c>
      <c r="BA12" s="167">
        <f t="shared" si="63"/>
        <v>1961426.3973446626</v>
      </c>
      <c r="BB12" s="167">
        <f t="shared" si="63"/>
        <v>2108533.3771455125</v>
      </c>
      <c r="BC12" s="167">
        <f t="shared" si="63"/>
        <v>2266673.3804314258</v>
      </c>
      <c r="BD12" s="167">
        <f t="shared" si="63"/>
        <v>2436673.8839637823</v>
      </c>
      <c r="BE12" s="167">
        <f t="shared" si="63"/>
        <v>2619424.4252610663</v>
      </c>
      <c r="BF12" s="167">
        <f t="shared" si="63"/>
        <v>2815881.2571556461</v>
      </c>
      <c r="BG12" s="167">
        <f t="shared" si="63"/>
        <v>3027072.3514423193</v>
      </c>
      <c r="BH12" s="167">
        <f t="shared" si="63"/>
        <v>3254102.7778004934</v>
      </c>
      <c r="BI12" s="167">
        <f t="shared" si="63"/>
        <v>3498160.4861355303</v>
      </c>
      <c r="BJ12" s="167">
        <f t="shared" si="63"/>
        <v>3760522.5225956943</v>
      </c>
      <c r="BK12" s="167">
        <f t="shared" si="63"/>
        <v>4042561.7117903717</v>
      </c>
      <c r="BL12" s="167">
        <f t="shared" si="63"/>
        <v>4345753.8401746489</v>
      </c>
      <c r="BM12" s="167">
        <f t="shared" si="63"/>
        <v>4671685.3781877477</v>
      </c>
      <c r="BN12" s="167">
        <f t="shared" si="63"/>
        <v>5022061.7815518286</v>
      </c>
      <c r="BO12" s="167">
        <f t="shared" si="63"/>
        <v>5398716.4151682155</v>
      </c>
      <c r="BP12" s="167">
        <f t="shared" si="63"/>
        <v>5803620.1463058321</v>
      </c>
      <c r="BQ12" s="167">
        <f t="shared" si="63"/>
        <v>6238891.6572787687</v>
      </c>
    </row>
    <row r="13" spans="1:69">
      <c r="I13" s="63"/>
      <c r="J13" s="8"/>
      <c r="K13" s="91"/>
    </row>
    <row r="14" spans="1:69">
      <c r="I14" s="63" t="s">
        <v>297</v>
      </c>
      <c r="J14" s="529">
        <f>J10*0.1</f>
        <v>0.35000000000000003</v>
      </c>
      <c r="K14" s="166">
        <f>J14</f>
        <v>0.35000000000000003</v>
      </c>
      <c r="L14" s="166">
        <f t="shared" ref="L14:BQ14" si="64">K14</f>
        <v>0.35000000000000003</v>
      </c>
      <c r="M14" s="166">
        <f t="shared" si="64"/>
        <v>0.35000000000000003</v>
      </c>
      <c r="N14" s="166">
        <f t="shared" si="64"/>
        <v>0.35000000000000003</v>
      </c>
      <c r="O14" s="166">
        <f t="shared" si="64"/>
        <v>0.35000000000000003</v>
      </c>
      <c r="P14" s="166">
        <f t="shared" si="64"/>
        <v>0.35000000000000003</v>
      </c>
      <c r="Q14" s="166">
        <f t="shared" si="64"/>
        <v>0.35000000000000003</v>
      </c>
      <c r="R14" s="166">
        <f t="shared" si="64"/>
        <v>0.35000000000000003</v>
      </c>
      <c r="S14" s="166">
        <f t="shared" si="64"/>
        <v>0.35000000000000003</v>
      </c>
      <c r="T14" s="166">
        <f t="shared" si="64"/>
        <v>0.35000000000000003</v>
      </c>
      <c r="U14" s="166">
        <f t="shared" si="64"/>
        <v>0.35000000000000003</v>
      </c>
      <c r="V14" s="166">
        <f t="shared" si="64"/>
        <v>0.35000000000000003</v>
      </c>
      <c r="W14" s="166">
        <f t="shared" si="64"/>
        <v>0.35000000000000003</v>
      </c>
      <c r="X14" s="166">
        <f t="shared" si="64"/>
        <v>0.35000000000000003</v>
      </c>
      <c r="Y14" s="166">
        <f t="shared" si="64"/>
        <v>0.35000000000000003</v>
      </c>
      <c r="Z14" s="166">
        <f t="shared" si="64"/>
        <v>0.35000000000000003</v>
      </c>
      <c r="AA14" s="166">
        <f t="shared" si="64"/>
        <v>0.35000000000000003</v>
      </c>
      <c r="AB14" s="166">
        <f t="shared" si="64"/>
        <v>0.35000000000000003</v>
      </c>
      <c r="AC14" s="166">
        <f t="shared" si="64"/>
        <v>0.35000000000000003</v>
      </c>
      <c r="AD14" s="166">
        <f t="shared" si="64"/>
        <v>0.35000000000000003</v>
      </c>
      <c r="AE14" s="166">
        <f t="shared" si="64"/>
        <v>0.35000000000000003</v>
      </c>
      <c r="AF14" s="166">
        <f t="shared" si="64"/>
        <v>0.35000000000000003</v>
      </c>
      <c r="AG14" s="166">
        <f t="shared" si="64"/>
        <v>0.35000000000000003</v>
      </c>
      <c r="AH14" s="166">
        <f t="shared" si="64"/>
        <v>0.35000000000000003</v>
      </c>
      <c r="AI14" s="166">
        <f t="shared" si="64"/>
        <v>0.35000000000000003</v>
      </c>
      <c r="AJ14" s="166">
        <f t="shared" si="64"/>
        <v>0.35000000000000003</v>
      </c>
      <c r="AK14" s="166">
        <f t="shared" si="64"/>
        <v>0.35000000000000003</v>
      </c>
      <c r="AL14" s="166">
        <f t="shared" si="64"/>
        <v>0.35000000000000003</v>
      </c>
      <c r="AM14" s="166">
        <f t="shared" si="64"/>
        <v>0.35000000000000003</v>
      </c>
      <c r="AN14" s="166">
        <f t="shared" si="64"/>
        <v>0.35000000000000003</v>
      </c>
      <c r="AO14" s="166">
        <f t="shared" si="64"/>
        <v>0.35000000000000003</v>
      </c>
      <c r="AP14" s="166">
        <f t="shared" si="64"/>
        <v>0.35000000000000003</v>
      </c>
      <c r="AQ14" s="166">
        <f t="shared" si="64"/>
        <v>0.35000000000000003</v>
      </c>
      <c r="AR14" s="166">
        <f t="shared" si="64"/>
        <v>0.35000000000000003</v>
      </c>
      <c r="AS14" s="166">
        <f t="shared" si="64"/>
        <v>0.35000000000000003</v>
      </c>
      <c r="AT14" s="166">
        <f t="shared" si="64"/>
        <v>0.35000000000000003</v>
      </c>
      <c r="AU14" s="166">
        <f t="shared" si="64"/>
        <v>0.35000000000000003</v>
      </c>
      <c r="AV14" s="166">
        <f t="shared" si="64"/>
        <v>0.35000000000000003</v>
      </c>
      <c r="AW14" s="166">
        <f t="shared" si="64"/>
        <v>0.35000000000000003</v>
      </c>
      <c r="AX14" s="166">
        <f t="shared" si="64"/>
        <v>0.35000000000000003</v>
      </c>
      <c r="AY14" s="166">
        <f t="shared" si="64"/>
        <v>0.35000000000000003</v>
      </c>
      <c r="AZ14" s="166">
        <f t="shared" si="64"/>
        <v>0.35000000000000003</v>
      </c>
      <c r="BA14" s="166">
        <f t="shared" si="64"/>
        <v>0.35000000000000003</v>
      </c>
      <c r="BB14" s="166">
        <f t="shared" si="64"/>
        <v>0.35000000000000003</v>
      </c>
      <c r="BC14" s="166">
        <f t="shared" si="64"/>
        <v>0.35000000000000003</v>
      </c>
      <c r="BD14" s="166">
        <f t="shared" si="64"/>
        <v>0.35000000000000003</v>
      </c>
      <c r="BE14" s="166">
        <f t="shared" si="64"/>
        <v>0.35000000000000003</v>
      </c>
      <c r="BF14" s="166">
        <f t="shared" si="64"/>
        <v>0.35000000000000003</v>
      </c>
      <c r="BG14" s="166">
        <f t="shared" si="64"/>
        <v>0.35000000000000003</v>
      </c>
      <c r="BH14" s="166">
        <f t="shared" si="64"/>
        <v>0.35000000000000003</v>
      </c>
      <c r="BI14" s="166">
        <f t="shared" si="64"/>
        <v>0.35000000000000003</v>
      </c>
      <c r="BJ14" s="166">
        <f t="shared" si="64"/>
        <v>0.35000000000000003</v>
      </c>
      <c r="BK14" s="166">
        <f t="shared" si="64"/>
        <v>0.35000000000000003</v>
      </c>
      <c r="BL14" s="166">
        <f t="shared" si="64"/>
        <v>0.35000000000000003</v>
      </c>
      <c r="BM14" s="166">
        <f t="shared" si="64"/>
        <v>0.35000000000000003</v>
      </c>
      <c r="BN14" s="166">
        <f t="shared" si="64"/>
        <v>0.35000000000000003</v>
      </c>
      <c r="BO14" s="166">
        <f t="shared" si="64"/>
        <v>0.35000000000000003</v>
      </c>
      <c r="BP14" s="166">
        <f t="shared" si="64"/>
        <v>0.35000000000000003</v>
      </c>
      <c r="BQ14" s="166">
        <f t="shared" si="64"/>
        <v>0.35000000000000003</v>
      </c>
    </row>
    <row r="15" spans="1:69">
      <c r="I15" s="517" t="str">
        <f>I8</f>
        <v>Viewers (Users)</v>
      </c>
      <c r="J15" s="61">
        <f t="shared" ref="J15:AO15" si="65">J8</f>
        <v>25000</v>
      </c>
      <c r="K15" s="61">
        <f t="shared" si="65"/>
        <v>26875</v>
      </c>
      <c r="L15" s="61">
        <f t="shared" si="65"/>
        <v>28890.625</v>
      </c>
      <c r="M15" s="61">
        <f t="shared" si="65"/>
        <v>31057.421875</v>
      </c>
      <c r="N15" s="61">
        <f t="shared" si="65"/>
        <v>33386.728515625</v>
      </c>
      <c r="O15" s="61">
        <f t="shared" si="65"/>
        <v>35890.733154296875</v>
      </c>
      <c r="P15" s="61">
        <f t="shared" si="65"/>
        <v>38582.538140869139</v>
      </c>
      <c r="Q15" s="61">
        <f t="shared" si="65"/>
        <v>41476.228501434322</v>
      </c>
      <c r="R15" s="61">
        <f t="shared" si="65"/>
        <v>44586.945639041893</v>
      </c>
      <c r="S15" s="61">
        <f t="shared" si="65"/>
        <v>47930.966561970032</v>
      </c>
      <c r="T15" s="61">
        <f t="shared" si="65"/>
        <v>51525.789054117784</v>
      </c>
      <c r="U15" s="61">
        <f t="shared" si="65"/>
        <v>55390.223233176614</v>
      </c>
      <c r="V15" s="61">
        <f t="shared" si="65"/>
        <v>59544.489975664859</v>
      </c>
      <c r="W15" s="61">
        <f t="shared" si="65"/>
        <v>64010.326723839724</v>
      </c>
      <c r="X15" s="61">
        <f t="shared" si="65"/>
        <v>68811.101228127707</v>
      </c>
      <c r="Y15" s="61">
        <f t="shared" si="65"/>
        <v>73971.933820237289</v>
      </c>
      <c r="Z15" s="61">
        <f t="shared" si="65"/>
        <v>79519.828856755077</v>
      </c>
      <c r="AA15" s="61">
        <f t="shared" si="65"/>
        <v>85483.816021011706</v>
      </c>
      <c r="AB15" s="61">
        <f t="shared" si="65"/>
        <v>91895.102222587579</v>
      </c>
      <c r="AC15" s="61">
        <f t="shared" si="65"/>
        <v>98787.234889281637</v>
      </c>
      <c r="AD15" s="61">
        <f t="shared" si="65"/>
        <v>106196.27750597775</v>
      </c>
      <c r="AE15" s="61">
        <f t="shared" si="65"/>
        <v>114160.99831892608</v>
      </c>
      <c r="AF15" s="61">
        <f t="shared" si="65"/>
        <v>122723.07319284554</v>
      </c>
      <c r="AG15" s="61">
        <f t="shared" si="65"/>
        <v>131927.30368230894</v>
      </c>
      <c r="AH15" s="61">
        <f t="shared" si="65"/>
        <v>141821.8514584821</v>
      </c>
      <c r="AI15" s="61">
        <f t="shared" si="65"/>
        <v>152458.49031786824</v>
      </c>
      <c r="AJ15" s="61">
        <f t="shared" si="65"/>
        <v>163892.87709170836</v>
      </c>
      <c r="AK15" s="61">
        <f t="shared" si="65"/>
        <v>176184.84287358649</v>
      </c>
      <c r="AL15" s="61">
        <f t="shared" si="65"/>
        <v>189398.70608910546</v>
      </c>
      <c r="AM15" s="61">
        <f t="shared" si="65"/>
        <v>203603.60904578835</v>
      </c>
      <c r="AN15" s="61">
        <f t="shared" si="65"/>
        <v>218873.87972422247</v>
      </c>
      <c r="AO15" s="61">
        <f t="shared" si="65"/>
        <v>235289.42070353913</v>
      </c>
      <c r="AP15" s="61">
        <f t="shared" ref="AP15:BQ15" si="66">AP8</f>
        <v>252936.12725630455</v>
      </c>
      <c r="AQ15" s="61">
        <f t="shared" si="66"/>
        <v>271906.33680052735</v>
      </c>
      <c r="AR15" s="61">
        <f t="shared" si="66"/>
        <v>292299.31206056691</v>
      </c>
      <c r="AS15" s="61">
        <f t="shared" si="66"/>
        <v>314221.76046510943</v>
      </c>
      <c r="AT15" s="61">
        <f t="shared" si="66"/>
        <v>337788.39249999262</v>
      </c>
      <c r="AU15" s="61">
        <f t="shared" si="66"/>
        <v>363122.52193749207</v>
      </c>
      <c r="AV15" s="61">
        <f t="shared" si="66"/>
        <v>390356.71108280396</v>
      </c>
      <c r="AW15" s="61">
        <f t="shared" si="66"/>
        <v>419633.46441401425</v>
      </c>
      <c r="AX15" s="61">
        <f t="shared" si="66"/>
        <v>451105.9742450653</v>
      </c>
      <c r="AY15" s="61">
        <f t="shared" si="66"/>
        <v>484938.92231344519</v>
      </c>
      <c r="AZ15" s="61">
        <f t="shared" si="66"/>
        <v>521309.34148695355</v>
      </c>
      <c r="BA15" s="61">
        <f t="shared" si="66"/>
        <v>560407.54209847504</v>
      </c>
      <c r="BB15" s="61">
        <f t="shared" si="66"/>
        <v>602438.10775586066</v>
      </c>
      <c r="BC15" s="61">
        <f t="shared" si="66"/>
        <v>647620.96583755023</v>
      </c>
      <c r="BD15" s="61">
        <f t="shared" si="66"/>
        <v>696192.53827536642</v>
      </c>
      <c r="BE15" s="61">
        <f t="shared" si="66"/>
        <v>748406.97864601889</v>
      </c>
      <c r="BF15" s="61">
        <f t="shared" si="66"/>
        <v>804537.50204447028</v>
      </c>
      <c r="BG15" s="61">
        <f t="shared" si="66"/>
        <v>864877.81469780556</v>
      </c>
      <c r="BH15" s="61">
        <f t="shared" si="66"/>
        <v>929743.65080014092</v>
      </c>
      <c r="BI15" s="61">
        <f t="shared" si="66"/>
        <v>999474.42461015144</v>
      </c>
      <c r="BJ15" s="61">
        <f t="shared" si="66"/>
        <v>1074435.0064559127</v>
      </c>
      <c r="BK15" s="61">
        <f t="shared" si="66"/>
        <v>1155017.6319401062</v>
      </c>
      <c r="BL15" s="61">
        <f t="shared" si="66"/>
        <v>1241643.9543356141</v>
      </c>
      <c r="BM15" s="61">
        <f t="shared" si="66"/>
        <v>1334767.250910785</v>
      </c>
      <c r="BN15" s="61">
        <f t="shared" si="66"/>
        <v>1434874.7947290938</v>
      </c>
      <c r="BO15" s="61">
        <f t="shared" si="66"/>
        <v>1542490.4043337759</v>
      </c>
      <c r="BP15" s="61">
        <f t="shared" si="66"/>
        <v>1658177.1846588091</v>
      </c>
      <c r="BQ15" s="61">
        <f t="shared" si="66"/>
        <v>1782540.4735082197</v>
      </c>
    </row>
    <row r="16" spans="1:69">
      <c r="I16" s="269" t="s">
        <v>295</v>
      </c>
      <c r="J16" s="167">
        <f>J14*J15</f>
        <v>8750</v>
      </c>
      <c r="K16" s="167">
        <f t="shared" ref="K16:BQ16" si="67">K14*K15</f>
        <v>9406.25</v>
      </c>
      <c r="L16" s="167">
        <f t="shared" si="67"/>
        <v>10111.718750000002</v>
      </c>
      <c r="M16" s="167">
        <f t="shared" si="67"/>
        <v>10870.097656250002</v>
      </c>
      <c r="N16" s="167">
        <f t="shared" si="67"/>
        <v>11685.354980468752</v>
      </c>
      <c r="O16" s="167">
        <f t="shared" si="67"/>
        <v>12561.756604003907</v>
      </c>
      <c r="P16" s="167">
        <f t="shared" si="67"/>
        <v>13503.888349304199</v>
      </c>
      <c r="Q16" s="167">
        <f t="shared" si="67"/>
        <v>14516.679975502015</v>
      </c>
      <c r="R16" s="167">
        <f t="shared" si="67"/>
        <v>15605.430973664665</v>
      </c>
      <c r="S16" s="167">
        <f t="shared" si="67"/>
        <v>16775.838296689511</v>
      </c>
      <c r="T16" s="167">
        <f t="shared" si="67"/>
        <v>18034.026168941225</v>
      </c>
      <c r="U16" s="167">
        <f t="shared" si="67"/>
        <v>19386.578131611815</v>
      </c>
      <c r="V16" s="167">
        <f t="shared" si="67"/>
        <v>20840.571491482704</v>
      </c>
      <c r="W16" s="167">
        <f t="shared" si="67"/>
        <v>22403.614353343906</v>
      </c>
      <c r="X16" s="167">
        <f t="shared" si="67"/>
        <v>24083.8854298447</v>
      </c>
      <c r="Y16" s="167">
        <f t="shared" si="67"/>
        <v>25890.176837083054</v>
      </c>
      <c r="Z16" s="167">
        <f t="shared" si="67"/>
        <v>27831.940099864281</v>
      </c>
      <c r="AA16" s="167">
        <f t="shared" si="67"/>
        <v>29919.3356073541</v>
      </c>
      <c r="AB16" s="167">
        <f t="shared" si="67"/>
        <v>32163.285777905654</v>
      </c>
      <c r="AC16" s="167">
        <f t="shared" si="67"/>
        <v>34575.532211248574</v>
      </c>
      <c r="AD16" s="167">
        <f t="shared" si="67"/>
        <v>37168.697127092215</v>
      </c>
      <c r="AE16" s="167">
        <f t="shared" si="67"/>
        <v>39956.349411624135</v>
      </c>
      <c r="AF16" s="167">
        <f t="shared" si="67"/>
        <v>42953.075617495939</v>
      </c>
      <c r="AG16" s="167">
        <f t="shared" si="67"/>
        <v>46174.556288808133</v>
      </c>
      <c r="AH16" s="167">
        <f t="shared" si="67"/>
        <v>49637.648010468736</v>
      </c>
      <c r="AI16" s="167">
        <f t="shared" si="67"/>
        <v>53360.471611253888</v>
      </c>
      <c r="AJ16" s="167">
        <f t="shared" si="67"/>
        <v>57362.506982097933</v>
      </c>
      <c r="AK16" s="167">
        <f t="shared" si="67"/>
        <v>61664.695005755275</v>
      </c>
      <c r="AL16" s="167">
        <f t="shared" si="67"/>
        <v>66289.547131186919</v>
      </c>
      <c r="AM16" s="167">
        <f t="shared" si="67"/>
        <v>71261.263166025936</v>
      </c>
      <c r="AN16" s="167">
        <f t="shared" si="67"/>
        <v>76605.857903477867</v>
      </c>
      <c r="AO16" s="167">
        <f t="shared" si="67"/>
        <v>82351.297246238697</v>
      </c>
      <c r="AP16" s="167">
        <f t="shared" si="67"/>
        <v>88527.644539706598</v>
      </c>
      <c r="AQ16" s="167">
        <f t="shared" si="67"/>
        <v>95167.217880184588</v>
      </c>
      <c r="AR16" s="167">
        <f t="shared" si="67"/>
        <v>102304.75922119843</v>
      </c>
      <c r="AS16" s="167">
        <f t="shared" si="67"/>
        <v>109977.61616278831</v>
      </c>
      <c r="AT16" s="167">
        <f t="shared" si="67"/>
        <v>118225.93737499743</v>
      </c>
      <c r="AU16" s="167">
        <f t="shared" si="67"/>
        <v>127092.88267812223</v>
      </c>
      <c r="AV16" s="167">
        <f t="shared" si="67"/>
        <v>136624.8488789814</v>
      </c>
      <c r="AW16" s="167">
        <f t="shared" si="67"/>
        <v>146871.71254490499</v>
      </c>
      <c r="AX16" s="167">
        <f t="shared" si="67"/>
        <v>157887.09098577287</v>
      </c>
      <c r="AY16" s="167">
        <f t="shared" si="67"/>
        <v>169728.62280970582</v>
      </c>
      <c r="AZ16" s="167">
        <f t="shared" si="67"/>
        <v>182458.26952043377</v>
      </c>
      <c r="BA16" s="167">
        <f t="shared" si="67"/>
        <v>196142.63973446627</v>
      </c>
      <c r="BB16" s="167">
        <f t="shared" si="67"/>
        <v>210853.33771455125</v>
      </c>
      <c r="BC16" s="167">
        <f t="shared" si="67"/>
        <v>226667.3380431426</v>
      </c>
      <c r="BD16" s="167">
        <f t="shared" si="67"/>
        <v>243667.38839637826</v>
      </c>
      <c r="BE16" s="167">
        <f t="shared" si="67"/>
        <v>261942.44252610664</v>
      </c>
      <c r="BF16" s="167">
        <f t="shared" si="67"/>
        <v>281588.12571556465</v>
      </c>
      <c r="BG16" s="167">
        <f t="shared" si="67"/>
        <v>302707.23514423199</v>
      </c>
      <c r="BH16" s="167">
        <f t="shared" si="67"/>
        <v>325410.27778004936</v>
      </c>
      <c r="BI16" s="167">
        <f t="shared" si="67"/>
        <v>349816.04861355305</v>
      </c>
      <c r="BJ16" s="167">
        <f t="shared" si="67"/>
        <v>376052.25225956948</v>
      </c>
      <c r="BK16" s="167">
        <f t="shared" si="67"/>
        <v>404256.17117903719</v>
      </c>
      <c r="BL16" s="167">
        <f t="shared" si="67"/>
        <v>434575.384017465</v>
      </c>
      <c r="BM16" s="167">
        <f t="shared" si="67"/>
        <v>467168.53781877481</v>
      </c>
      <c r="BN16" s="167">
        <f t="shared" si="67"/>
        <v>502206.17815518286</v>
      </c>
      <c r="BO16" s="167">
        <f t="shared" si="67"/>
        <v>539871.64151682158</v>
      </c>
      <c r="BP16" s="167">
        <f t="shared" si="67"/>
        <v>580362.01463058323</v>
      </c>
      <c r="BQ16" s="167">
        <f t="shared" si="67"/>
        <v>623889.16572787694</v>
      </c>
    </row>
    <row r="17" spans="1:69">
      <c r="H17" s="58"/>
    </row>
    <row r="18" spans="1:69" s="12" customFormat="1"/>
    <row r="19" spans="1:69" s="10" customFormat="1">
      <c r="A19" s="354" t="s">
        <v>300</v>
      </c>
      <c r="B19" s="355"/>
      <c r="C19" s="355"/>
      <c r="D19" s="355"/>
      <c r="E19" s="355"/>
      <c r="F19" s="355"/>
      <c r="G19" s="355"/>
    </row>
    <row r="20" spans="1:69">
      <c r="B20" s="66"/>
      <c r="C20" s="381">
        <f>J20</f>
        <v>45261</v>
      </c>
      <c r="D20" s="381">
        <f>EDATE(C20,12)</f>
        <v>45627</v>
      </c>
      <c r="E20" s="381">
        <f t="shared" ref="E20" si="68">EDATE(D20,12)</f>
        <v>45992</v>
      </c>
      <c r="F20" s="381">
        <f t="shared" ref="F20" si="69">EDATE(E20,12)</f>
        <v>46357</v>
      </c>
      <c r="G20" s="381">
        <f t="shared" ref="G20" si="70">EDATE(F20,12)</f>
        <v>46722</v>
      </c>
      <c r="I20" s="133"/>
      <c r="J20" s="535">
        <f>'2) Assumptions'!$D$2</f>
        <v>45261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>
        <f>'2) Assumptions'!$E$2</f>
        <v>45627</v>
      </c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>
        <f>'2) Assumptions'!$F$2</f>
        <v>45992</v>
      </c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35">
        <f>'2) Assumptions'!G$2</f>
        <v>46357</v>
      </c>
      <c r="AU20" s="535"/>
      <c r="AV20" s="535"/>
      <c r="AW20" s="535"/>
      <c r="AX20" s="535"/>
      <c r="AY20" s="535"/>
      <c r="AZ20" s="535"/>
      <c r="BA20" s="535"/>
      <c r="BB20" s="535"/>
      <c r="BC20" s="535"/>
      <c r="BD20" s="535"/>
      <c r="BE20" s="535"/>
      <c r="BF20" s="535">
        <f>'2) Assumptions'!$H$2</f>
        <v>46722</v>
      </c>
      <c r="BG20" s="535"/>
      <c r="BH20" s="535"/>
      <c r="BI20" s="535"/>
      <c r="BJ20" s="535"/>
      <c r="BK20" s="535"/>
      <c r="BL20" s="535"/>
      <c r="BM20" s="535"/>
      <c r="BN20" s="535"/>
      <c r="BO20" s="535"/>
      <c r="BP20" s="535"/>
      <c r="BQ20" s="535"/>
    </row>
    <row r="21" spans="1:69">
      <c r="B21" s="63" t="s">
        <v>29</v>
      </c>
      <c r="C21" s="61">
        <f>SUM(J27:U27)</f>
        <v>3224152.3977287211</v>
      </c>
      <c r="D21" s="61">
        <f>SUM(V27:AG27)</f>
        <v>7679220.4050629456</v>
      </c>
      <c r="E21" s="61">
        <f>SUM(AH27:AS27)</f>
        <v>18290210.49720766</v>
      </c>
      <c r="F21" s="61">
        <f>SUM(AT27:BE27)</f>
        <v>43563250.224151254</v>
      </c>
      <c r="G21" s="61">
        <f>SUM(BF27:BQ27)</f>
        <v>103758060.65117417</v>
      </c>
      <c r="I21" s="134"/>
      <c r="J21" s="135">
        <f>EDATE('2) Assumptions'!$D$5,0)</f>
        <v>44927</v>
      </c>
      <c r="K21" s="135">
        <f>EDATE('2) Assumptions'!$D$5,1)</f>
        <v>44958</v>
      </c>
      <c r="L21" s="135">
        <f>EDATE('2) Assumptions'!$D$5,2)</f>
        <v>44986</v>
      </c>
      <c r="M21" s="135">
        <f>EDATE('2) Assumptions'!$D$5,3)</f>
        <v>45017</v>
      </c>
      <c r="N21" s="135">
        <f>EDATE('2) Assumptions'!$D$5,4)</f>
        <v>45047</v>
      </c>
      <c r="O21" s="135">
        <f>EDATE('2) Assumptions'!$D$5,5)</f>
        <v>45078</v>
      </c>
      <c r="P21" s="135">
        <f>EDATE('2) Assumptions'!$D$5,6)</f>
        <v>45108</v>
      </c>
      <c r="Q21" s="135">
        <f>EDATE('2) Assumptions'!$D$5,7)</f>
        <v>45139</v>
      </c>
      <c r="R21" s="135">
        <f>EDATE('2) Assumptions'!$D$5,8)</f>
        <v>45170</v>
      </c>
      <c r="S21" s="135">
        <f>EDATE('2) Assumptions'!$D$5,9)</f>
        <v>45200</v>
      </c>
      <c r="T21" s="135">
        <f>EDATE('2) Assumptions'!$D$5,10)</f>
        <v>45231</v>
      </c>
      <c r="U21" s="135">
        <f>EDATE('2) Assumptions'!$D$5,11)</f>
        <v>45261</v>
      </c>
      <c r="V21" s="135">
        <f>EDATE('2) Assumptions'!$D$5,0)</f>
        <v>44927</v>
      </c>
      <c r="W21" s="135">
        <f>EDATE('2) Assumptions'!$D$5,1)</f>
        <v>44958</v>
      </c>
      <c r="X21" s="135">
        <f>EDATE('2) Assumptions'!$D$5,2)</f>
        <v>44986</v>
      </c>
      <c r="Y21" s="135">
        <f>EDATE('2) Assumptions'!$D$5,3)</f>
        <v>45017</v>
      </c>
      <c r="Z21" s="135">
        <f>EDATE('2) Assumptions'!$D$5,4)</f>
        <v>45047</v>
      </c>
      <c r="AA21" s="135">
        <f>EDATE('2) Assumptions'!$D$5,5)</f>
        <v>45078</v>
      </c>
      <c r="AB21" s="135">
        <f>EDATE('2) Assumptions'!$D$5,6)</f>
        <v>45108</v>
      </c>
      <c r="AC21" s="135">
        <f>EDATE('2) Assumptions'!$D$5,7)</f>
        <v>45139</v>
      </c>
      <c r="AD21" s="135">
        <f>EDATE('2) Assumptions'!$D$5,8)</f>
        <v>45170</v>
      </c>
      <c r="AE21" s="135">
        <f>EDATE('2) Assumptions'!$D$5,9)</f>
        <v>45200</v>
      </c>
      <c r="AF21" s="135">
        <f>EDATE('2) Assumptions'!$D$5,10)</f>
        <v>45231</v>
      </c>
      <c r="AG21" s="135">
        <f>EDATE('2) Assumptions'!$D$5,11)</f>
        <v>45261</v>
      </c>
      <c r="AH21" s="135">
        <f>EDATE('2) Assumptions'!$D$5,0)</f>
        <v>44927</v>
      </c>
      <c r="AI21" s="135">
        <f>EDATE('2) Assumptions'!$D$5,1)</f>
        <v>44958</v>
      </c>
      <c r="AJ21" s="135">
        <f>EDATE('2) Assumptions'!$D$5,2)</f>
        <v>44986</v>
      </c>
      <c r="AK21" s="135">
        <f>EDATE('2) Assumptions'!$D$5,3)</f>
        <v>45017</v>
      </c>
      <c r="AL21" s="135">
        <f>EDATE('2) Assumptions'!$D$5,4)</f>
        <v>45047</v>
      </c>
      <c r="AM21" s="135">
        <f>EDATE('2) Assumptions'!$D$5,5)</f>
        <v>45078</v>
      </c>
      <c r="AN21" s="135">
        <f>EDATE('2) Assumptions'!$D$5,6)</f>
        <v>45108</v>
      </c>
      <c r="AO21" s="135">
        <f>EDATE('2) Assumptions'!$D$5,7)</f>
        <v>45139</v>
      </c>
      <c r="AP21" s="135">
        <f>EDATE('2) Assumptions'!$D$5,8)</f>
        <v>45170</v>
      </c>
      <c r="AQ21" s="135">
        <f>EDATE('2) Assumptions'!$D$5,9)</f>
        <v>45200</v>
      </c>
      <c r="AR21" s="135">
        <f>EDATE('2) Assumptions'!$D$5,10)</f>
        <v>45231</v>
      </c>
      <c r="AS21" s="135">
        <f>EDATE('2) Assumptions'!$D$5,11)</f>
        <v>45261</v>
      </c>
      <c r="AT21" s="135">
        <f>EDATE('2) Assumptions'!$D$5,0)</f>
        <v>44927</v>
      </c>
      <c r="AU21" s="135">
        <f>EDATE('2) Assumptions'!$D$5,1)</f>
        <v>44958</v>
      </c>
      <c r="AV21" s="135">
        <f>EDATE('2) Assumptions'!$D$5,2)</f>
        <v>44986</v>
      </c>
      <c r="AW21" s="135">
        <f>EDATE('2) Assumptions'!$D$5,3)</f>
        <v>45017</v>
      </c>
      <c r="AX21" s="135">
        <f>EDATE('2) Assumptions'!$D$5,4)</f>
        <v>45047</v>
      </c>
      <c r="AY21" s="135">
        <f>EDATE('2) Assumptions'!$D$5,5)</f>
        <v>45078</v>
      </c>
      <c r="AZ21" s="135">
        <f>EDATE('2) Assumptions'!$D$5,6)</f>
        <v>45108</v>
      </c>
      <c r="BA21" s="135">
        <f>EDATE('2) Assumptions'!$D$5,7)</f>
        <v>45139</v>
      </c>
      <c r="BB21" s="135">
        <f>EDATE('2) Assumptions'!$D$5,8)</f>
        <v>45170</v>
      </c>
      <c r="BC21" s="135">
        <f>EDATE('2) Assumptions'!$D$5,9)</f>
        <v>45200</v>
      </c>
      <c r="BD21" s="135">
        <f>EDATE('2) Assumptions'!$D$5,10)</f>
        <v>45231</v>
      </c>
      <c r="BE21" s="135">
        <f>EDATE('2) Assumptions'!$D$5,11)</f>
        <v>45261</v>
      </c>
      <c r="BF21" s="135">
        <f>EDATE('2) Assumptions'!$D$5,0)</f>
        <v>44927</v>
      </c>
      <c r="BG21" s="135">
        <f>EDATE('2) Assumptions'!$D$5,1)</f>
        <v>44958</v>
      </c>
      <c r="BH21" s="135">
        <f>EDATE('2) Assumptions'!$D$5,2)</f>
        <v>44986</v>
      </c>
      <c r="BI21" s="135">
        <f>EDATE('2) Assumptions'!$D$5,3)</f>
        <v>45017</v>
      </c>
      <c r="BJ21" s="135">
        <f>EDATE('2) Assumptions'!$D$5,4)</f>
        <v>45047</v>
      </c>
      <c r="BK21" s="135">
        <f>EDATE('2) Assumptions'!$D$5,5)</f>
        <v>45078</v>
      </c>
      <c r="BL21" s="135">
        <f>EDATE('2) Assumptions'!$D$5,6)</f>
        <v>45108</v>
      </c>
      <c r="BM21" s="135">
        <f>EDATE('2) Assumptions'!$D$5,7)</f>
        <v>45139</v>
      </c>
      <c r="BN21" s="135">
        <f>EDATE('2) Assumptions'!$D$5,8)</f>
        <v>45170</v>
      </c>
      <c r="BO21" s="135">
        <f>EDATE('2) Assumptions'!$D$5,9)</f>
        <v>45200</v>
      </c>
      <c r="BP21" s="135">
        <f>EDATE('2) Assumptions'!$D$5,10)</f>
        <v>45231</v>
      </c>
      <c r="BQ21" s="135">
        <f>EDATE('2) Assumptions'!$D$5,11)</f>
        <v>45261</v>
      </c>
    </row>
    <row r="22" spans="1:69">
      <c r="B22" s="63" t="s">
        <v>296</v>
      </c>
      <c r="C22" s="61">
        <f>SUM(J31:U31)</f>
        <v>322415.23977287213</v>
      </c>
      <c r="D22" s="61">
        <f>SUM(V31:AG31)</f>
        <v>767922.04050629446</v>
      </c>
      <c r="E22" s="61">
        <f>SUM(AH31:AS31)</f>
        <v>1829021.049720766</v>
      </c>
      <c r="F22" s="61">
        <f>SUM(AT31:BE31)</f>
        <v>4356325.0224151267</v>
      </c>
      <c r="G22" s="61">
        <f>SUM(BF31:BQ31)</f>
        <v>10375806.065117417</v>
      </c>
      <c r="H22" s="18"/>
      <c r="I22" s="63" t="s">
        <v>137</v>
      </c>
      <c r="J22" s="270"/>
      <c r="K22" s="183">
        <v>7.4999999999999997E-2</v>
      </c>
      <c r="L22" s="183">
        <f>K22</f>
        <v>7.4999999999999997E-2</v>
      </c>
      <c r="M22" s="183">
        <f t="shared" ref="M22" si="71">L22</f>
        <v>7.4999999999999997E-2</v>
      </c>
      <c r="N22" s="183">
        <f t="shared" ref="N22" si="72">M22</f>
        <v>7.4999999999999997E-2</v>
      </c>
      <c r="O22" s="183">
        <f t="shared" ref="O22" si="73">N22</f>
        <v>7.4999999999999997E-2</v>
      </c>
      <c r="P22" s="183">
        <f t="shared" ref="P22" si="74">O22</f>
        <v>7.4999999999999997E-2</v>
      </c>
      <c r="Q22" s="183">
        <f t="shared" ref="Q22" si="75">P22</f>
        <v>7.4999999999999997E-2</v>
      </c>
      <c r="R22" s="183">
        <f t="shared" ref="R22" si="76">Q22</f>
        <v>7.4999999999999997E-2</v>
      </c>
      <c r="S22" s="183">
        <f t="shared" ref="S22" si="77">R22</f>
        <v>7.4999999999999997E-2</v>
      </c>
      <c r="T22" s="183">
        <f t="shared" ref="T22" si="78">S22</f>
        <v>7.4999999999999997E-2</v>
      </c>
      <c r="U22" s="183">
        <f t="shared" ref="U22" si="79">T22</f>
        <v>7.4999999999999997E-2</v>
      </c>
      <c r="V22" s="183">
        <f t="shared" ref="V22" si="80">U22</f>
        <v>7.4999999999999997E-2</v>
      </c>
      <c r="W22" s="183">
        <f t="shared" ref="W22" si="81">V22</f>
        <v>7.4999999999999997E-2</v>
      </c>
      <c r="X22" s="183">
        <f t="shared" ref="X22" si="82">W22</f>
        <v>7.4999999999999997E-2</v>
      </c>
      <c r="Y22" s="183">
        <f t="shared" ref="Y22" si="83">X22</f>
        <v>7.4999999999999997E-2</v>
      </c>
      <c r="Z22" s="183">
        <f t="shared" ref="Z22" si="84">Y22</f>
        <v>7.4999999999999997E-2</v>
      </c>
      <c r="AA22" s="183">
        <f t="shared" ref="AA22" si="85">Z22</f>
        <v>7.4999999999999997E-2</v>
      </c>
      <c r="AB22" s="183">
        <f t="shared" ref="AB22" si="86">AA22</f>
        <v>7.4999999999999997E-2</v>
      </c>
      <c r="AC22" s="183">
        <f t="shared" ref="AC22" si="87">AB22</f>
        <v>7.4999999999999997E-2</v>
      </c>
      <c r="AD22" s="183">
        <f t="shared" ref="AD22" si="88">AC22</f>
        <v>7.4999999999999997E-2</v>
      </c>
      <c r="AE22" s="183">
        <f t="shared" ref="AE22" si="89">AD22</f>
        <v>7.4999999999999997E-2</v>
      </c>
      <c r="AF22" s="183">
        <f t="shared" ref="AF22" si="90">AE22</f>
        <v>7.4999999999999997E-2</v>
      </c>
      <c r="AG22" s="183">
        <f t="shared" ref="AG22" si="91">AF22</f>
        <v>7.4999999999999997E-2</v>
      </c>
      <c r="AH22" s="183">
        <f t="shared" ref="AH22" si="92">AG22</f>
        <v>7.4999999999999997E-2</v>
      </c>
      <c r="AI22" s="183">
        <f t="shared" ref="AI22" si="93">AH22</f>
        <v>7.4999999999999997E-2</v>
      </c>
      <c r="AJ22" s="183">
        <f t="shared" ref="AJ22" si="94">AI22</f>
        <v>7.4999999999999997E-2</v>
      </c>
      <c r="AK22" s="183">
        <f t="shared" ref="AK22" si="95">AJ22</f>
        <v>7.4999999999999997E-2</v>
      </c>
      <c r="AL22" s="183">
        <f t="shared" ref="AL22" si="96">AK22</f>
        <v>7.4999999999999997E-2</v>
      </c>
      <c r="AM22" s="183">
        <f t="shared" ref="AM22" si="97">AL22</f>
        <v>7.4999999999999997E-2</v>
      </c>
      <c r="AN22" s="183">
        <f t="shared" ref="AN22" si="98">AM22</f>
        <v>7.4999999999999997E-2</v>
      </c>
      <c r="AO22" s="183">
        <f t="shared" ref="AO22" si="99">AN22</f>
        <v>7.4999999999999997E-2</v>
      </c>
      <c r="AP22" s="183">
        <f t="shared" ref="AP22" si="100">AO22</f>
        <v>7.4999999999999997E-2</v>
      </c>
      <c r="AQ22" s="183">
        <f t="shared" ref="AQ22" si="101">AP22</f>
        <v>7.4999999999999997E-2</v>
      </c>
      <c r="AR22" s="183">
        <f t="shared" ref="AR22" si="102">AQ22</f>
        <v>7.4999999999999997E-2</v>
      </c>
      <c r="AS22" s="183">
        <f t="shared" ref="AS22" si="103">AR22</f>
        <v>7.4999999999999997E-2</v>
      </c>
      <c r="AT22" s="183">
        <f t="shared" ref="AT22" si="104">AS22</f>
        <v>7.4999999999999997E-2</v>
      </c>
      <c r="AU22" s="183">
        <f t="shared" ref="AU22" si="105">AT22</f>
        <v>7.4999999999999997E-2</v>
      </c>
      <c r="AV22" s="183">
        <f t="shared" ref="AV22" si="106">AU22</f>
        <v>7.4999999999999997E-2</v>
      </c>
      <c r="AW22" s="183">
        <f t="shared" ref="AW22" si="107">AV22</f>
        <v>7.4999999999999997E-2</v>
      </c>
      <c r="AX22" s="183">
        <f t="shared" ref="AX22" si="108">AW22</f>
        <v>7.4999999999999997E-2</v>
      </c>
      <c r="AY22" s="183">
        <f t="shared" ref="AY22" si="109">AX22</f>
        <v>7.4999999999999997E-2</v>
      </c>
      <c r="AZ22" s="183">
        <f t="shared" ref="AZ22" si="110">AY22</f>
        <v>7.4999999999999997E-2</v>
      </c>
      <c r="BA22" s="183">
        <f t="shared" ref="BA22" si="111">AZ22</f>
        <v>7.4999999999999997E-2</v>
      </c>
      <c r="BB22" s="183">
        <f t="shared" ref="BB22" si="112">BA22</f>
        <v>7.4999999999999997E-2</v>
      </c>
      <c r="BC22" s="183">
        <f t="shared" ref="BC22" si="113">BB22</f>
        <v>7.4999999999999997E-2</v>
      </c>
      <c r="BD22" s="183">
        <f t="shared" ref="BD22" si="114">BC22</f>
        <v>7.4999999999999997E-2</v>
      </c>
      <c r="BE22" s="183">
        <f t="shared" ref="BE22" si="115">BD22</f>
        <v>7.4999999999999997E-2</v>
      </c>
      <c r="BF22" s="183">
        <f t="shared" ref="BF22" si="116">BE22</f>
        <v>7.4999999999999997E-2</v>
      </c>
      <c r="BG22" s="183">
        <f t="shared" ref="BG22" si="117">BF22</f>
        <v>7.4999999999999997E-2</v>
      </c>
      <c r="BH22" s="183">
        <f t="shared" ref="BH22" si="118">BG22</f>
        <v>7.4999999999999997E-2</v>
      </c>
      <c r="BI22" s="183">
        <f t="shared" ref="BI22" si="119">BH22</f>
        <v>7.4999999999999997E-2</v>
      </c>
      <c r="BJ22" s="183">
        <f t="shared" ref="BJ22" si="120">BI22</f>
        <v>7.4999999999999997E-2</v>
      </c>
      <c r="BK22" s="183">
        <f t="shared" ref="BK22" si="121">BJ22</f>
        <v>7.4999999999999997E-2</v>
      </c>
      <c r="BL22" s="183">
        <f t="shared" ref="BL22" si="122">BK22</f>
        <v>7.4999999999999997E-2</v>
      </c>
      <c r="BM22" s="183">
        <f t="shared" ref="BM22" si="123">BL22</f>
        <v>7.4999999999999997E-2</v>
      </c>
      <c r="BN22" s="183">
        <f t="shared" ref="BN22" si="124">BM22</f>
        <v>7.4999999999999997E-2</v>
      </c>
      <c r="BO22" s="183">
        <f t="shared" ref="BO22" si="125">BN22</f>
        <v>7.4999999999999997E-2</v>
      </c>
      <c r="BP22" s="183">
        <f t="shared" ref="BP22" si="126">BO22</f>
        <v>7.4999999999999997E-2</v>
      </c>
      <c r="BQ22" s="183">
        <f t="shared" ref="BQ22" si="127">BP22</f>
        <v>7.4999999999999997E-2</v>
      </c>
    </row>
    <row r="23" spans="1:69">
      <c r="E23" s="61"/>
      <c r="F23" s="61"/>
      <c r="G23" s="61"/>
      <c r="I23" s="109" t="s">
        <v>301</v>
      </c>
      <c r="J23" s="268">
        <v>3500</v>
      </c>
      <c r="K23" s="166">
        <f t="shared" ref="K23" si="128">J23*(1+K22)</f>
        <v>3762.5</v>
      </c>
      <c r="L23" s="166">
        <f t="shared" ref="L23" si="129">K23*(1+L22)</f>
        <v>4044.6875</v>
      </c>
      <c r="M23" s="166">
        <f t="shared" ref="M23" si="130">L23*(1+M22)</f>
        <v>4348.0390625</v>
      </c>
      <c r="N23" s="166">
        <f t="shared" ref="N23" si="131">M23*(1+N22)</f>
        <v>4674.1419921874995</v>
      </c>
      <c r="O23" s="166">
        <f t="shared" ref="O23" si="132">N23*(1+O22)</f>
        <v>5024.7026416015615</v>
      </c>
      <c r="P23" s="166">
        <f t="shared" ref="P23" si="133">O23*(1+P22)</f>
        <v>5401.5553397216781</v>
      </c>
      <c r="Q23" s="166">
        <f t="shared" ref="Q23" si="134">P23*(1+Q22)</f>
        <v>5806.6719902008035</v>
      </c>
      <c r="R23" s="166">
        <f t="shared" ref="R23" si="135">Q23*(1+R22)</f>
        <v>6242.1723894658635</v>
      </c>
      <c r="S23" s="166">
        <f t="shared" ref="S23" si="136">R23*(1+S22)</f>
        <v>6710.3353186758031</v>
      </c>
      <c r="T23" s="166">
        <f t="shared" ref="T23" si="137">S23*(1+T22)</f>
        <v>7213.6104675764882</v>
      </c>
      <c r="U23" s="166">
        <f t="shared" ref="U23" si="138">T23*(1+U22)</f>
        <v>7754.6312526447246</v>
      </c>
      <c r="V23" s="166">
        <f t="shared" ref="V23" si="139">U23*(1+V22)</f>
        <v>8336.2285965930787</v>
      </c>
      <c r="W23" s="166">
        <f t="shared" ref="W23" si="140">V23*(1+W22)</f>
        <v>8961.4457413375585</v>
      </c>
      <c r="X23" s="166">
        <f t="shared" ref="X23" si="141">W23*(1+X22)</f>
        <v>9633.5541719378743</v>
      </c>
      <c r="Y23" s="166">
        <f t="shared" ref="Y23" si="142">X23*(1+Y22)</f>
        <v>10356.070734833214</v>
      </c>
      <c r="Z23" s="166">
        <f t="shared" ref="Z23" si="143">Y23*(1+Z22)</f>
        <v>11132.776039945706</v>
      </c>
      <c r="AA23" s="166">
        <f t="shared" ref="AA23" si="144">Z23*(1+AA22)</f>
        <v>11967.734242941633</v>
      </c>
      <c r="AB23" s="166">
        <f t="shared" ref="AB23" si="145">AA23*(1+AB22)</f>
        <v>12865.314311162256</v>
      </c>
      <c r="AC23" s="166">
        <f t="shared" ref="AC23" si="146">AB23*(1+AC22)</f>
        <v>13830.212884499424</v>
      </c>
      <c r="AD23" s="166">
        <f t="shared" ref="AD23" si="147">AC23*(1+AD22)</f>
        <v>14867.47885083688</v>
      </c>
      <c r="AE23" s="166">
        <f t="shared" ref="AE23" si="148">AD23*(1+AE22)</f>
        <v>15982.539764649646</v>
      </c>
      <c r="AF23" s="166">
        <f t="shared" ref="AF23" si="149">AE23*(1+AF22)</f>
        <v>17181.23024699837</v>
      </c>
      <c r="AG23" s="166">
        <f t="shared" ref="AG23" si="150">AF23*(1+AG22)</f>
        <v>18469.822515523247</v>
      </c>
      <c r="AH23" s="166">
        <f t="shared" ref="AH23" si="151">AG23*(1+AH22)</f>
        <v>19855.059204187488</v>
      </c>
      <c r="AI23" s="166">
        <f t="shared" ref="AI23" si="152">AH23*(1+AI22)</f>
        <v>21344.188644501548</v>
      </c>
      <c r="AJ23" s="166">
        <f t="shared" ref="AJ23" si="153">AI23*(1+AJ22)</f>
        <v>22945.002792839165</v>
      </c>
      <c r="AK23" s="166">
        <f t="shared" ref="AK23" si="154">AJ23*(1+AK22)</f>
        <v>24665.878002302103</v>
      </c>
      <c r="AL23" s="166">
        <f t="shared" ref="AL23" si="155">AK23*(1+AL22)</f>
        <v>26515.81885247476</v>
      </c>
      <c r="AM23" s="166">
        <f t="shared" ref="AM23" si="156">AL23*(1+AM22)</f>
        <v>28504.505266410368</v>
      </c>
      <c r="AN23" s="166">
        <f t="shared" ref="AN23" si="157">AM23*(1+AN22)</f>
        <v>30642.343161391145</v>
      </c>
      <c r="AO23" s="166">
        <f t="shared" ref="AO23" si="158">AN23*(1+AO22)</f>
        <v>32940.51889849548</v>
      </c>
      <c r="AP23" s="166">
        <f t="shared" ref="AP23" si="159">AO23*(1+AP22)</f>
        <v>35411.057815882639</v>
      </c>
      <c r="AQ23" s="166">
        <f t="shared" ref="AQ23" si="160">AP23*(1+AQ22)</f>
        <v>38066.887152073832</v>
      </c>
      <c r="AR23" s="166">
        <f t="shared" ref="AR23" si="161">AQ23*(1+AR22)</f>
        <v>40921.903688479368</v>
      </c>
      <c r="AS23" s="166">
        <f t="shared" ref="AS23" si="162">AR23*(1+AS22)</f>
        <v>43991.046465115316</v>
      </c>
      <c r="AT23" s="166">
        <f t="shared" ref="AT23" si="163">AS23*(1+AT22)</f>
        <v>47290.374949998964</v>
      </c>
      <c r="AU23" s="166">
        <f t="shared" ref="AU23" si="164">AT23*(1+AU22)</f>
        <v>50837.153071248882</v>
      </c>
      <c r="AV23" s="166">
        <f t="shared" ref="AV23" si="165">AU23*(1+AV22)</f>
        <v>54649.939551592543</v>
      </c>
      <c r="AW23" s="166">
        <f t="shared" ref="AW23" si="166">AV23*(1+AW22)</f>
        <v>58748.68501796198</v>
      </c>
      <c r="AX23" s="166">
        <f t="shared" ref="AX23" si="167">AW23*(1+AX22)</f>
        <v>63154.836394309124</v>
      </c>
      <c r="AY23" s="166">
        <f t="shared" ref="AY23" si="168">AX23*(1+AY22)</f>
        <v>67891.44912388231</v>
      </c>
      <c r="AZ23" s="166">
        <f t="shared" ref="AZ23" si="169">AY23*(1+AZ22)</f>
        <v>72983.307808173486</v>
      </c>
      <c r="BA23" s="166">
        <f t="shared" ref="BA23" si="170">AZ23*(1+BA22)</f>
        <v>78457.055893786499</v>
      </c>
      <c r="BB23" s="166">
        <f t="shared" ref="BB23" si="171">BA23*(1+BB22)</f>
        <v>84341.335085820479</v>
      </c>
      <c r="BC23" s="166">
        <f t="shared" ref="BC23" si="172">BB23*(1+BC22)</f>
        <v>90666.935217257007</v>
      </c>
      <c r="BD23" s="166">
        <f t="shared" ref="BD23" si="173">BC23*(1+BD22)</f>
        <v>97466.955358551277</v>
      </c>
      <c r="BE23" s="166">
        <f t="shared" ref="BE23" si="174">BD23*(1+BE22)</f>
        <v>104776.97701044261</v>
      </c>
      <c r="BF23" s="166">
        <f t="shared" ref="BF23" si="175">BE23*(1+BF22)</f>
        <v>112635.25028622581</v>
      </c>
      <c r="BG23" s="166">
        <f t="shared" ref="BG23" si="176">BF23*(1+BG22)</f>
        <v>121082.89405769274</v>
      </c>
      <c r="BH23" s="166">
        <f t="shared" ref="BH23" si="177">BG23*(1+BH22)</f>
        <v>130164.11111201969</v>
      </c>
      <c r="BI23" s="166">
        <f t="shared" ref="BI23" si="178">BH23*(1+BI22)</f>
        <v>139926.41944542117</v>
      </c>
      <c r="BJ23" s="166">
        <f t="shared" ref="BJ23" si="179">BI23*(1+BJ22)</f>
        <v>150420.90090382774</v>
      </c>
      <c r="BK23" s="166">
        <f t="shared" ref="BK23" si="180">BJ23*(1+BK22)</f>
        <v>161702.46847161482</v>
      </c>
      <c r="BL23" s="166">
        <f t="shared" ref="BL23" si="181">BK23*(1+BL22)</f>
        <v>173830.15360698593</v>
      </c>
      <c r="BM23" s="166">
        <f t="shared" ref="BM23" si="182">BL23*(1+BM22)</f>
        <v>186867.41512750986</v>
      </c>
      <c r="BN23" s="166">
        <f t="shared" ref="BN23" si="183">BM23*(1+BN22)</f>
        <v>200882.47126207309</v>
      </c>
      <c r="BO23" s="166">
        <f t="shared" ref="BO23" si="184">BN23*(1+BO22)</f>
        <v>215948.65660672856</v>
      </c>
      <c r="BP23" s="166">
        <f t="shared" ref="BP23" si="185">BO23*(1+BP22)</f>
        <v>232144.8058522332</v>
      </c>
      <c r="BQ23" s="166">
        <f t="shared" ref="BQ23" si="186">BP23*(1+BQ22)</f>
        <v>249555.66629115067</v>
      </c>
    </row>
    <row r="24" spans="1:69">
      <c r="E24" s="61"/>
      <c r="F24" s="61"/>
      <c r="G24" s="61"/>
      <c r="H24" s="59"/>
      <c r="I24" s="63"/>
      <c r="J24" s="8"/>
    </row>
    <row r="25" spans="1:69">
      <c r="E25" s="61"/>
      <c r="F25" s="61"/>
      <c r="G25" s="61"/>
      <c r="I25" s="173" t="s">
        <v>299</v>
      </c>
      <c r="J25" s="529">
        <v>50</v>
      </c>
      <c r="K25" s="166">
        <f>J25</f>
        <v>50</v>
      </c>
      <c r="L25" s="166">
        <f t="shared" ref="L25" si="187">K25</f>
        <v>50</v>
      </c>
      <c r="M25" s="166">
        <f t="shared" ref="M25" si="188">L25</f>
        <v>50</v>
      </c>
      <c r="N25" s="166">
        <f t="shared" ref="N25" si="189">M25</f>
        <v>50</v>
      </c>
      <c r="O25" s="166">
        <f t="shared" ref="O25" si="190">N25</f>
        <v>50</v>
      </c>
      <c r="P25" s="166">
        <f t="shared" ref="P25" si="191">O25</f>
        <v>50</v>
      </c>
      <c r="Q25" s="166">
        <f t="shared" ref="Q25" si="192">P25</f>
        <v>50</v>
      </c>
      <c r="R25" s="166">
        <f t="shared" ref="R25" si="193">Q25</f>
        <v>50</v>
      </c>
      <c r="S25" s="166">
        <f t="shared" ref="S25" si="194">R25</f>
        <v>50</v>
      </c>
      <c r="T25" s="166">
        <f t="shared" ref="T25" si="195">S25</f>
        <v>50</v>
      </c>
      <c r="U25" s="166">
        <f t="shared" ref="U25" si="196">T25</f>
        <v>50</v>
      </c>
      <c r="V25" s="166">
        <f t="shared" ref="V25" si="197">U25</f>
        <v>50</v>
      </c>
      <c r="W25" s="166">
        <f t="shared" ref="W25" si="198">V25</f>
        <v>50</v>
      </c>
      <c r="X25" s="166">
        <f t="shared" ref="X25" si="199">W25</f>
        <v>50</v>
      </c>
      <c r="Y25" s="166">
        <f t="shared" ref="Y25" si="200">X25</f>
        <v>50</v>
      </c>
      <c r="Z25" s="166">
        <f t="shared" ref="Z25" si="201">Y25</f>
        <v>50</v>
      </c>
      <c r="AA25" s="166">
        <f t="shared" ref="AA25" si="202">Z25</f>
        <v>50</v>
      </c>
      <c r="AB25" s="166">
        <f t="shared" ref="AB25" si="203">AA25</f>
        <v>50</v>
      </c>
      <c r="AC25" s="166">
        <f t="shared" ref="AC25" si="204">AB25</f>
        <v>50</v>
      </c>
      <c r="AD25" s="166">
        <f t="shared" ref="AD25" si="205">AC25</f>
        <v>50</v>
      </c>
      <c r="AE25" s="166">
        <f t="shared" ref="AE25" si="206">AD25</f>
        <v>50</v>
      </c>
      <c r="AF25" s="166">
        <f t="shared" ref="AF25" si="207">AE25</f>
        <v>50</v>
      </c>
      <c r="AG25" s="166">
        <f t="shared" ref="AG25" si="208">AF25</f>
        <v>50</v>
      </c>
      <c r="AH25" s="166">
        <f t="shared" ref="AH25" si="209">AG25</f>
        <v>50</v>
      </c>
      <c r="AI25" s="166">
        <f t="shared" ref="AI25" si="210">AH25</f>
        <v>50</v>
      </c>
      <c r="AJ25" s="166">
        <f t="shared" ref="AJ25" si="211">AI25</f>
        <v>50</v>
      </c>
      <c r="AK25" s="166">
        <f t="shared" ref="AK25" si="212">AJ25</f>
        <v>50</v>
      </c>
      <c r="AL25" s="166">
        <f t="shared" ref="AL25" si="213">AK25</f>
        <v>50</v>
      </c>
      <c r="AM25" s="166">
        <f t="shared" ref="AM25" si="214">AL25</f>
        <v>50</v>
      </c>
      <c r="AN25" s="166">
        <f t="shared" ref="AN25" si="215">AM25</f>
        <v>50</v>
      </c>
      <c r="AO25" s="166">
        <f t="shared" ref="AO25" si="216">AN25</f>
        <v>50</v>
      </c>
      <c r="AP25" s="166">
        <f t="shared" ref="AP25" si="217">AO25</f>
        <v>50</v>
      </c>
      <c r="AQ25" s="166">
        <f t="shared" ref="AQ25" si="218">AP25</f>
        <v>50</v>
      </c>
      <c r="AR25" s="166">
        <f t="shared" ref="AR25" si="219">AQ25</f>
        <v>50</v>
      </c>
      <c r="AS25" s="166">
        <f t="shared" ref="AS25" si="220">AR25</f>
        <v>50</v>
      </c>
      <c r="AT25" s="166">
        <f t="shared" ref="AT25" si="221">AS25</f>
        <v>50</v>
      </c>
      <c r="AU25" s="166">
        <f t="shared" ref="AU25" si="222">AT25</f>
        <v>50</v>
      </c>
      <c r="AV25" s="166">
        <f t="shared" ref="AV25" si="223">AU25</f>
        <v>50</v>
      </c>
      <c r="AW25" s="166">
        <f t="shared" ref="AW25" si="224">AV25</f>
        <v>50</v>
      </c>
      <c r="AX25" s="166">
        <f t="shared" ref="AX25" si="225">AW25</f>
        <v>50</v>
      </c>
      <c r="AY25" s="166">
        <f t="shared" ref="AY25" si="226">AX25</f>
        <v>50</v>
      </c>
      <c r="AZ25" s="166">
        <f t="shared" ref="AZ25" si="227">AY25</f>
        <v>50</v>
      </c>
      <c r="BA25" s="166">
        <f t="shared" ref="BA25" si="228">AZ25</f>
        <v>50</v>
      </c>
      <c r="BB25" s="166">
        <f t="shared" ref="BB25" si="229">BA25</f>
        <v>50</v>
      </c>
      <c r="BC25" s="166">
        <f t="shared" ref="BC25" si="230">BB25</f>
        <v>50</v>
      </c>
      <c r="BD25" s="166">
        <f t="shared" ref="BD25" si="231">BC25</f>
        <v>50</v>
      </c>
      <c r="BE25" s="166">
        <f t="shared" ref="BE25" si="232">BD25</f>
        <v>50</v>
      </c>
      <c r="BF25" s="166">
        <f t="shared" ref="BF25" si="233">BE25</f>
        <v>50</v>
      </c>
      <c r="BG25" s="166">
        <f t="shared" ref="BG25" si="234">BF25</f>
        <v>50</v>
      </c>
      <c r="BH25" s="166">
        <f t="shared" ref="BH25" si="235">BG25</f>
        <v>50</v>
      </c>
      <c r="BI25" s="166">
        <f t="shared" ref="BI25" si="236">BH25</f>
        <v>50</v>
      </c>
      <c r="BJ25" s="166">
        <f t="shared" ref="BJ25" si="237">BI25</f>
        <v>50</v>
      </c>
      <c r="BK25" s="166">
        <f t="shared" ref="BK25" si="238">BJ25</f>
        <v>50</v>
      </c>
      <c r="BL25" s="166">
        <f t="shared" ref="BL25" si="239">BK25</f>
        <v>50</v>
      </c>
      <c r="BM25" s="166">
        <f t="shared" ref="BM25" si="240">BL25</f>
        <v>50</v>
      </c>
      <c r="BN25" s="166">
        <f t="shared" ref="BN25" si="241">BM25</f>
        <v>50</v>
      </c>
      <c r="BO25" s="166">
        <f t="shared" ref="BO25" si="242">BN25</f>
        <v>50</v>
      </c>
      <c r="BP25" s="166">
        <f t="shared" ref="BP25" si="243">BO25</f>
        <v>50</v>
      </c>
      <c r="BQ25" s="166">
        <f t="shared" ref="BQ25" si="244">BP25</f>
        <v>50</v>
      </c>
    </row>
    <row r="26" spans="1:69">
      <c r="E26" s="61"/>
      <c r="F26" s="61"/>
      <c r="G26" s="61"/>
      <c r="I26" s="173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</row>
    <row r="27" spans="1:69">
      <c r="I27" s="269" t="s">
        <v>29</v>
      </c>
      <c r="J27" s="167">
        <f t="shared" ref="J27:BQ27" si="245">J25*J23</f>
        <v>175000</v>
      </c>
      <c r="K27" s="167">
        <f t="shared" si="245"/>
        <v>188125</v>
      </c>
      <c r="L27" s="167">
        <f t="shared" si="245"/>
        <v>202234.375</v>
      </c>
      <c r="M27" s="167">
        <f t="shared" si="245"/>
        <v>217401.953125</v>
      </c>
      <c r="N27" s="167">
        <f t="shared" si="245"/>
        <v>233707.09960937497</v>
      </c>
      <c r="O27" s="167">
        <f t="shared" si="245"/>
        <v>251235.13208007807</v>
      </c>
      <c r="P27" s="167">
        <f t="shared" si="245"/>
        <v>270077.76698608388</v>
      </c>
      <c r="Q27" s="167">
        <f t="shared" si="245"/>
        <v>290333.59951004019</v>
      </c>
      <c r="R27" s="167">
        <f t="shared" si="245"/>
        <v>312108.61947329319</v>
      </c>
      <c r="S27" s="167">
        <f t="shared" si="245"/>
        <v>335516.76593379013</v>
      </c>
      <c r="T27" s="167">
        <f t="shared" si="245"/>
        <v>360680.52337882441</v>
      </c>
      <c r="U27" s="167">
        <f t="shared" si="245"/>
        <v>387731.56263223622</v>
      </c>
      <c r="V27" s="167">
        <f t="shared" si="245"/>
        <v>416811.42982965393</v>
      </c>
      <c r="W27" s="167">
        <f t="shared" si="245"/>
        <v>448072.28706687794</v>
      </c>
      <c r="X27" s="167">
        <f t="shared" si="245"/>
        <v>481677.7085968937</v>
      </c>
      <c r="Y27" s="167">
        <f t="shared" si="245"/>
        <v>517803.53674166073</v>
      </c>
      <c r="Z27" s="167">
        <f t="shared" si="245"/>
        <v>556638.80199728534</v>
      </c>
      <c r="AA27" s="167">
        <f t="shared" si="245"/>
        <v>598386.71214708162</v>
      </c>
      <c r="AB27" s="167">
        <f t="shared" si="245"/>
        <v>643265.71555811283</v>
      </c>
      <c r="AC27" s="167">
        <f t="shared" si="245"/>
        <v>691510.64422497118</v>
      </c>
      <c r="AD27" s="167">
        <f t="shared" si="245"/>
        <v>743373.94254184398</v>
      </c>
      <c r="AE27" s="167">
        <f t="shared" si="245"/>
        <v>799126.98823248234</v>
      </c>
      <c r="AF27" s="167">
        <f t="shared" si="245"/>
        <v>859061.51234991848</v>
      </c>
      <c r="AG27" s="167">
        <f t="shared" si="245"/>
        <v>923491.12577616237</v>
      </c>
      <c r="AH27" s="167">
        <f t="shared" si="245"/>
        <v>992752.96020937443</v>
      </c>
      <c r="AI27" s="167">
        <f t="shared" si="245"/>
        <v>1067209.4322250774</v>
      </c>
      <c r="AJ27" s="167">
        <f t="shared" si="245"/>
        <v>1147250.1396419583</v>
      </c>
      <c r="AK27" s="167">
        <f t="shared" si="245"/>
        <v>1233293.9001151051</v>
      </c>
      <c r="AL27" s="167">
        <f t="shared" si="245"/>
        <v>1325790.942623738</v>
      </c>
      <c r="AM27" s="167">
        <f t="shared" si="245"/>
        <v>1425225.2633205184</v>
      </c>
      <c r="AN27" s="167">
        <f t="shared" si="245"/>
        <v>1532117.1580695573</v>
      </c>
      <c r="AO27" s="167">
        <f t="shared" si="245"/>
        <v>1647025.9449247741</v>
      </c>
      <c r="AP27" s="167">
        <f t="shared" si="245"/>
        <v>1770552.8907941319</v>
      </c>
      <c r="AQ27" s="167">
        <f t="shared" si="245"/>
        <v>1903344.3576036915</v>
      </c>
      <c r="AR27" s="167">
        <f t="shared" si="245"/>
        <v>2046095.1844239684</v>
      </c>
      <c r="AS27" s="167">
        <f t="shared" si="245"/>
        <v>2199552.3232557657</v>
      </c>
      <c r="AT27" s="167">
        <f t="shared" si="245"/>
        <v>2364518.7474999484</v>
      </c>
      <c r="AU27" s="167">
        <f t="shared" si="245"/>
        <v>2541857.6535624443</v>
      </c>
      <c r="AV27" s="167">
        <f t="shared" si="245"/>
        <v>2732496.9775796272</v>
      </c>
      <c r="AW27" s="167">
        <f t="shared" si="245"/>
        <v>2937434.250898099</v>
      </c>
      <c r="AX27" s="167">
        <f t="shared" si="245"/>
        <v>3157741.8197154561</v>
      </c>
      <c r="AY27" s="167">
        <f t="shared" si="245"/>
        <v>3394572.4561941153</v>
      </c>
      <c r="AZ27" s="167">
        <f t="shared" si="245"/>
        <v>3649165.3904086743</v>
      </c>
      <c r="BA27" s="167">
        <f t="shared" si="245"/>
        <v>3922852.7946893252</v>
      </c>
      <c r="BB27" s="167">
        <f t="shared" si="245"/>
        <v>4217066.7542910241</v>
      </c>
      <c r="BC27" s="167">
        <f t="shared" si="245"/>
        <v>4533346.7608628506</v>
      </c>
      <c r="BD27" s="167">
        <f t="shared" si="245"/>
        <v>4873347.7679275637</v>
      </c>
      <c r="BE27" s="167">
        <f t="shared" si="245"/>
        <v>5238848.8505221307</v>
      </c>
      <c r="BF27" s="167">
        <f t="shared" si="245"/>
        <v>5631762.5143112903</v>
      </c>
      <c r="BG27" s="167">
        <f t="shared" si="245"/>
        <v>6054144.7028846368</v>
      </c>
      <c r="BH27" s="167">
        <f t="shared" si="245"/>
        <v>6508205.555600984</v>
      </c>
      <c r="BI27" s="167">
        <f t="shared" si="245"/>
        <v>6996320.9722710587</v>
      </c>
      <c r="BJ27" s="167">
        <f t="shared" si="245"/>
        <v>7521045.0451913867</v>
      </c>
      <c r="BK27" s="167">
        <f t="shared" si="245"/>
        <v>8085123.4235807406</v>
      </c>
      <c r="BL27" s="167">
        <f t="shared" si="245"/>
        <v>8691507.680349296</v>
      </c>
      <c r="BM27" s="167">
        <f t="shared" si="245"/>
        <v>9343370.7563754935</v>
      </c>
      <c r="BN27" s="167">
        <f t="shared" si="245"/>
        <v>10044123.563103653</v>
      </c>
      <c r="BO27" s="167">
        <f t="shared" si="245"/>
        <v>10797432.830336427</v>
      </c>
      <c r="BP27" s="167">
        <f t="shared" si="245"/>
        <v>11607240.29261166</v>
      </c>
      <c r="BQ27" s="167">
        <f t="shared" si="245"/>
        <v>12477783.314557534</v>
      </c>
    </row>
    <row r="28" spans="1:69">
      <c r="I28" s="63"/>
      <c r="J28" s="8"/>
      <c r="K28" s="91"/>
    </row>
    <row r="29" spans="1:69">
      <c r="I29" s="63" t="s">
        <v>297</v>
      </c>
      <c r="J29" s="268">
        <f>J25*0.1</f>
        <v>5</v>
      </c>
      <c r="K29" s="166">
        <f>J29</f>
        <v>5</v>
      </c>
      <c r="L29" s="166">
        <f t="shared" ref="L29" si="246">K29</f>
        <v>5</v>
      </c>
      <c r="M29" s="166">
        <f t="shared" ref="M29" si="247">L29</f>
        <v>5</v>
      </c>
      <c r="N29" s="166">
        <f t="shared" ref="N29" si="248">M29</f>
        <v>5</v>
      </c>
      <c r="O29" s="166">
        <f t="shared" ref="O29" si="249">N29</f>
        <v>5</v>
      </c>
      <c r="P29" s="166">
        <f t="shared" ref="P29" si="250">O29</f>
        <v>5</v>
      </c>
      <c r="Q29" s="166">
        <f t="shared" ref="Q29" si="251">P29</f>
        <v>5</v>
      </c>
      <c r="R29" s="166">
        <f t="shared" ref="R29" si="252">Q29</f>
        <v>5</v>
      </c>
      <c r="S29" s="166">
        <f t="shared" ref="S29" si="253">R29</f>
        <v>5</v>
      </c>
      <c r="T29" s="166">
        <f t="shared" ref="T29" si="254">S29</f>
        <v>5</v>
      </c>
      <c r="U29" s="166">
        <f t="shared" ref="U29" si="255">T29</f>
        <v>5</v>
      </c>
      <c r="V29" s="166">
        <f t="shared" ref="V29" si="256">U29</f>
        <v>5</v>
      </c>
      <c r="W29" s="166">
        <f t="shared" ref="W29" si="257">V29</f>
        <v>5</v>
      </c>
      <c r="X29" s="166">
        <f t="shared" ref="X29" si="258">W29</f>
        <v>5</v>
      </c>
      <c r="Y29" s="166">
        <f t="shared" ref="Y29" si="259">X29</f>
        <v>5</v>
      </c>
      <c r="Z29" s="166">
        <f t="shared" ref="Z29" si="260">Y29</f>
        <v>5</v>
      </c>
      <c r="AA29" s="166">
        <f t="shared" ref="AA29" si="261">Z29</f>
        <v>5</v>
      </c>
      <c r="AB29" s="166">
        <f t="shared" ref="AB29" si="262">AA29</f>
        <v>5</v>
      </c>
      <c r="AC29" s="166">
        <f t="shared" ref="AC29" si="263">AB29</f>
        <v>5</v>
      </c>
      <c r="AD29" s="166">
        <f t="shared" ref="AD29" si="264">AC29</f>
        <v>5</v>
      </c>
      <c r="AE29" s="166">
        <f t="shared" ref="AE29" si="265">AD29</f>
        <v>5</v>
      </c>
      <c r="AF29" s="166">
        <f t="shared" ref="AF29" si="266">AE29</f>
        <v>5</v>
      </c>
      <c r="AG29" s="166">
        <f t="shared" ref="AG29" si="267">AF29</f>
        <v>5</v>
      </c>
      <c r="AH29" s="166">
        <f t="shared" ref="AH29" si="268">AG29</f>
        <v>5</v>
      </c>
      <c r="AI29" s="166">
        <f t="shared" ref="AI29" si="269">AH29</f>
        <v>5</v>
      </c>
      <c r="AJ29" s="166">
        <f t="shared" ref="AJ29" si="270">AI29</f>
        <v>5</v>
      </c>
      <c r="AK29" s="166">
        <f t="shared" ref="AK29" si="271">AJ29</f>
        <v>5</v>
      </c>
      <c r="AL29" s="166">
        <f t="shared" ref="AL29" si="272">AK29</f>
        <v>5</v>
      </c>
      <c r="AM29" s="166">
        <f t="shared" ref="AM29" si="273">AL29</f>
        <v>5</v>
      </c>
      <c r="AN29" s="166">
        <f t="shared" ref="AN29" si="274">AM29</f>
        <v>5</v>
      </c>
      <c r="AO29" s="166">
        <f t="shared" ref="AO29" si="275">AN29</f>
        <v>5</v>
      </c>
      <c r="AP29" s="166">
        <f t="shared" ref="AP29" si="276">AO29</f>
        <v>5</v>
      </c>
      <c r="AQ29" s="166">
        <f t="shared" ref="AQ29" si="277">AP29</f>
        <v>5</v>
      </c>
      <c r="AR29" s="166">
        <f t="shared" ref="AR29" si="278">AQ29</f>
        <v>5</v>
      </c>
      <c r="AS29" s="166">
        <f t="shared" ref="AS29" si="279">AR29</f>
        <v>5</v>
      </c>
      <c r="AT29" s="166">
        <f t="shared" ref="AT29" si="280">AS29</f>
        <v>5</v>
      </c>
      <c r="AU29" s="166">
        <f t="shared" ref="AU29" si="281">AT29</f>
        <v>5</v>
      </c>
      <c r="AV29" s="166">
        <f t="shared" ref="AV29" si="282">AU29</f>
        <v>5</v>
      </c>
      <c r="AW29" s="166">
        <f t="shared" ref="AW29" si="283">AV29</f>
        <v>5</v>
      </c>
      <c r="AX29" s="166">
        <f t="shared" ref="AX29" si="284">AW29</f>
        <v>5</v>
      </c>
      <c r="AY29" s="166">
        <f t="shared" ref="AY29" si="285">AX29</f>
        <v>5</v>
      </c>
      <c r="AZ29" s="166">
        <f t="shared" ref="AZ29" si="286">AY29</f>
        <v>5</v>
      </c>
      <c r="BA29" s="166">
        <f t="shared" ref="BA29" si="287">AZ29</f>
        <v>5</v>
      </c>
      <c r="BB29" s="166">
        <f t="shared" ref="BB29" si="288">BA29</f>
        <v>5</v>
      </c>
      <c r="BC29" s="166">
        <f t="shared" ref="BC29" si="289">BB29</f>
        <v>5</v>
      </c>
      <c r="BD29" s="166">
        <f t="shared" ref="BD29" si="290">BC29</f>
        <v>5</v>
      </c>
      <c r="BE29" s="166">
        <f t="shared" ref="BE29" si="291">BD29</f>
        <v>5</v>
      </c>
      <c r="BF29" s="166">
        <f t="shared" ref="BF29" si="292">BE29</f>
        <v>5</v>
      </c>
      <c r="BG29" s="166">
        <f t="shared" ref="BG29" si="293">BF29</f>
        <v>5</v>
      </c>
      <c r="BH29" s="166">
        <f t="shared" ref="BH29" si="294">BG29</f>
        <v>5</v>
      </c>
      <c r="BI29" s="166">
        <f t="shared" ref="BI29" si="295">BH29</f>
        <v>5</v>
      </c>
      <c r="BJ29" s="166">
        <f t="shared" ref="BJ29" si="296">BI29</f>
        <v>5</v>
      </c>
      <c r="BK29" s="166">
        <f t="shared" ref="BK29" si="297">BJ29</f>
        <v>5</v>
      </c>
      <c r="BL29" s="166">
        <f t="shared" ref="BL29" si="298">BK29</f>
        <v>5</v>
      </c>
      <c r="BM29" s="166">
        <f t="shared" ref="BM29" si="299">BL29</f>
        <v>5</v>
      </c>
      <c r="BN29" s="166">
        <f t="shared" ref="BN29" si="300">BM29</f>
        <v>5</v>
      </c>
      <c r="BO29" s="166">
        <f t="shared" ref="BO29" si="301">BN29</f>
        <v>5</v>
      </c>
      <c r="BP29" s="166">
        <f t="shared" ref="BP29" si="302">BO29</f>
        <v>5</v>
      </c>
      <c r="BQ29" s="166">
        <f t="shared" ref="BQ29" si="303">BP29</f>
        <v>5</v>
      </c>
    </row>
    <row r="30" spans="1:69">
      <c r="I30" s="517" t="str">
        <f>I23</f>
        <v>Digital Sales (Units)</v>
      </c>
      <c r="J30" s="61">
        <f t="shared" ref="J30:BQ30" si="304">J23</f>
        <v>3500</v>
      </c>
      <c r="K30" s="61">
        <f t="shared" si="304"/>
        <v>3762.5</v>
      </c>
      <c r="L30" s="61">
        <f t="shared" si="304"/>
        <v>4044.6875</v>
      </c>
      <c r="M30" s="61">
        <f t="shared" si="304"/>
        <v>4348.0390625</v>
      </c>
      <c r="N30" s="61">
        <f t="shared" si="304"/>
        <v>4674.1419921874995</v>
      </c>
      <c r="O30" s="61">
        <f t="shared" si="304"/>
        <v>5024.7026416015615</v>
      </c>
      <c r="P30" s="61">
        <f t="shared" si="304"/>
        <v>5401.5553397216781</v>
      </c>
      <c r="Q30" s="61">
        <f t="shared" si="304"/>
        <v>5806.6719902008035</v>
      </c>
      <c r="R30" s="61">
        <f t="shared" si="304"/>
        <v>6242.1723894658635</v>
      </c>
      <c r="S30" s="61">
        <f t="shared" si="304"/>
        <v>6710.3353186758031</v>
      </c>
      <c r="T30" s="61">
        <f t="shared" si="304"/>
        <v>7213.6104675764882</v>
      </c>
      <c r="U30" s="61">
        <f t="shared" si="304"/>
        <v>7754.6312526447246</v>
      </c>
      <c r="V30" s="61">
        <f t="shared" si="304"/>
        <v>8336.2285965930787</v>
      </c>
      <c r="W30" s="61">
        <f t="shared" si="304"/>
        <v>8961.4457413375585</v>
      </c>
      <c r="X30" s="61">
        <f t="shared" si="304"/>
        <v>9633.5541719378743</v>
      </c>
      <c r="Y30" s="61">
        <f t="shared" si="304"/>
        <v>10356.070734833214</v>
      </c>
      <c r="Z30" s="61">
        <f t="shared" si="304"/>
        <v>11132.776039945706</v>
      </c>
      <c r="AA30" s="61">
        <f t="shared" si="304"/>
        <v>11967.734242941633</v>
      </c>
      <c r="AB30" s="61">
        <f t="shared" si="304"/>
        <v>12865.314311162256</v>
      </c>
      <c r="AC30" s="61">
        <f t="shared" si="304"/>
        <v>13830.212884499424</v>
      </c>
      <c r="AD30" s="61">
        <f t="shared" si="304"/>
        <v>14867.47885083688</v>
      </c>
      <c r="AE30" s="61">
        <f t="shared" si="304"/>
        <v>15982.539764649646</v>
      </c>
      <c r="AF30" s="61">
        <f t="shared" si="304"/>
        <v>17181.23024699837</v>
      </c>
      <c r="AG30" s="61">
        <f t="shared" si="304"/>
        <v>18469.822515523247</v>
      </c>
      <c r="AH30" s="61">
        <f t="shared" si="304"/>
        <v>19855.059204187488</v>
      </c>
      <c r="AI30" s="61">
        <f t="shared" si="304"/>
        <v>21344.188644501548</v>
      </c>
      <c r="AJ30" s="61">
        <f t="shared" si="304"/>
        <v>22945.002792839165</v>
      </c>
      <c r="AK30" s="61">
        <f t="shared" si="304"/>
        <v>24665.878002302103</v>
      </c>
      <c r="AL30" s="61">
        <f t="shared" si="304"/>
        <v>26515.81885247476</v>
      </c>
      <c r="AM30" s="61">
        <f t="shared" si="304"/>
        <v>28504.505266410368</v>
      </c>
      <c r="AN30" s="61">
        <f t="shared" si="304"/>
        <v>30642.343161391145</v>
      </c>
      <c r="AO30" s="61">
        <f t="shared" si="304"/>
        <v>32940.51889849548</v>
      </c>
      <c r="AP30" s="61">
        <f t="shared" si="304"/>
        <v>35411.057815882639</v>
      </c>
      <c r="AQ30" s="61">
        <f t="shared" si="304"/>
        <v>38066.887152073832</v>
      </c>
      <c r="AR30" s="61">
        <f t="shared" si="304"/>
        <v>40921.903688479368</v>
      </c>
      <c r="AS30" s="61">
        <f t="shared" si="304"/>
        <v>43991.046465115316</v>
      </c>
      <c r="AT30" s="61">
        <f t="shared" si="304"/>
        <v>47290.374949998964</v>
      </c>
      <c r="AU30" s="61">
        <f t="shared" si="304"/>
        <v>50837.153071248882</v>
      </c>
      <c r="AV30" s="61">
        <f t="shared" si="304"/>
        <v>54649.939551592543</v>
      </c>
      <c r="AW30" s="61">
        <f t="shared" si="304"/>
        <v>58748.68501796198</v>
      </c>
      <c r="AX30" s="61">
        <f t="shared" si="304"/>
        <v>63154.836394309124</v>
      </c>
      <c r="AY30" s="61">
        <f t="shared" si="304"/>
        <v>67891.44912388231</v>
      </c>
      <c r="AZ30" s="61">
        <f t="shared" si="304"/>
        <v>72983.307808173486</v>
      </c>
      <c r="BA30" s="61">
        <f t="shared" si="304"/>
        <v>78457.055893786499</v>
      </c>
      <c r="BB30" s="61">
        <f t="shared" si="304"/>
        <v>84341.335085820479</v>
      </c>
      <c r="BC30" s="61">
        <f t="shared" si="304"/>
        <v>90666.935217257007</v>
      </c>
      <c r="BD30" s="61">
        <f t="shared" si="304"/>
        <v>97466.955358551277</v>
      </c>
      <c r="BE30" s="61">
        <f t="shared" si="304"/>
        <v>104776.97701044261</v>
      </c>
      <c r="BF30" s="61">
        <f t="shared" si="304"/>
        <v>112635.25028622581</v>
      </c>
      <c r="BG30" s="61">
        <f t="shared" si="304"/>
        <v>121082.89405769274</v>
      </c>
      <c r="BH30" s="61">
        <f t="shared" si="304"/>
        <v>130164.11111201969</v>
      </c>
      <c r="BI30" s="61">
        <f t="shared" si="304"/>
        <v>139926.41944542117</v>
      </c>
      <c r="BJ30" s="61">
        <f t="shared" si="304"/>
        <v>150420.90090382774</v>
      </c>
      <c r="BK30" s="61">
        <f t="shared" si="304"/>
        <v>161702.46847161482</v>
      </c>
      <c r="BL30" s="61">
        <f t="shared" si="304"/>
        <v>173830.15360698593</v>
      </c>
      <c r="BM30" s="61">
        <f t="shared" si="304"/>
        <v>186867.41512750986</v>
      </c>
      <c r="BN30" s="61">
        <f t="shared" si="304"/>
        <v>200882.47126207309</v>
      </c>
      <c r="BO30" s="61">
        <f t="shared" si="304"/>
        <v>215948.65660672856</v>
      </c>
      <c r="BP30" s="61">
        <f t="shared" si="304"/>
        <v>232144.8058522332</v>
      </c>
      <c r="BQ30" s="61">
        <f t="shared" si="304"/>
        <v>249555.66629115067</v>
      </c>
    </row>
    <row r="31" spans="1:69">
      <c r="I31" s="269" t="s">
        <v>295</v>
      </c>
      <c r="J31" s="167">
        <f>J29*J30</f>
        <v>17500</v>
      </c>
      <c r="K31" s="167">
        <f t="shared" ref="K31:BQ31" si="305">K29*K30</f>
        <v>18812.5</v>
      </c>
      <c r="L31" s="167">
        <f t="shared" si="305"/>
        <v>20223.4375</v>
      </c>
      <c r="M31" s="167">
        <f t="shared" si="305"/>
        <v>21740.1953125</v>
      </c>
      <c r="N31" s="167">
        <f t="shared" si="305"/>
        <v>23370.709960937496</v>
      </c>
      <c r="O31" s="167">
        <f t="shared" si="305"/>
        <v>25123.513208007807</v>
      </c>
      <c r="P31" s="167">
        <f t="shared" si="305"/>
        <v>27007.776698608392</v>
      </c>
      <c r="Q31" s="167">
        <f t="shared" si="305"/>
        <v>29033.359951004019</v>
      </c>
      <c r="R31" s="167">
        <f t="shared" si="305"/>
        <v>31210.861947329318</v>
      </c>
      <c r="S31" s="167">
        <f t="shared" si="305"/>
        <v>33551.676593379016</v>
      </c>
      <c r="T31" s="167">
        <f t="shared" si="305"/>
        <v>36068.052337882444</v>
      </c>
      <c r="U31" s="167">
        <f t="shared" si="305"/>
        <v>38773.156263223624</v>
      </c>
      <c r="V31" s="167">
        <f t="shared" si="305"/>
        <v>41681.142982965393</v>
      </c>
      <c r="W31" s="167">
        <f t="shared" si="305"/>
        <v>44807.228706687791</v>
      </c>
      <c r="X31" s="167">
        <f t="shared" si="305"/>
        <v>48167.770859689372</v>
      </c>
      <c r="Y31" s="167">
        <f t="shared" si="305"/>
        <v>51780.353674166072</v>
      </c>
      <c r="Z31" s="167">
        <f t="shared" si="305"/>
        <v>55663.880199728526</v>
      </c>
      <c r="AA31" s="167">
        <f t="shared" si="305"/>
        <v>59838.671214708163</v>
      </c>
      <c r="AB31" s="167">
        <f t="shared" si="305"/>
        <v>64326.571555811279</v>
      </c>
      <c r="AC31" s="167">
        <f t="shared" si="305"/>
        <v>69151.064422497118</v>
      </c>
      <c r="AD31" s="167">
        <f t="shared" si="305"/>
        <v>74337.394254184401</v>
      </c>
      <c r="AE31" s="167">
        <f t="shared" si="305"/>
        <v>79912.698823248225</v>
      </c>
      <c r="AF31" s="167">
        <f t="shared" si="305"/>
        <v>85906.151234991848</v>
      </c>
      <c r="AG31" s="167">
        <f t="shared" si="305"/>
        <v>92349.112577616237</v>
      </c>
      <c r="AH31" s="167">
        <f t="shared" si="305"/>
        <v>99275.296020937443</v>
      </c>
      <c r="AI31" s="167">
        <f t="shared" si="305"/>
        <v>106720.94322250775</v>
      </c>
      <c r="AJ31" s="167">
        <f t="shared" si="305"/>
        <v>114725.01396419582</v>
      </c>
      <c r="AK31" s="167">
        <f t="shared" si="305"/>
        <v>123329.39001151052</v>
      </c>
      <c r="AL31" s="167">
        <f t="shared" si="305"/>
        <v>132579.09426237381</v>
      </c>
      <c r="AM31" s="167">
        <f t="shared" si="305"/>
        <v>142522.52633205184</v>
      </c>
      <c r="AN31" s="167">
        <f t="shared" si="305"/>
        <v>153211.71580695573</v>
      </c>
      <c r="AO31" s="167">
        <f t="shared" si="305"/>
        <v>164702.59449247739</v>
      </c>
      <c r="AP31" s="167">
        <f t="shared" si="305"/>
        <v>177055.2890794132</v>
      </c>
      <c r="AQ31" s="167">
        <f t="shared" si="305"/>
        <v>190334.43576036918</v>
      </c>
      <c r="AR31" s="167">
        <f t="shared" si="305"/>
        <v>204609.51844239683</v>
      </c>
      <c r="AS31" s="167">
        <f t="shared" si="305"/>
        <v>219955.2323255766</v>
      </c>
      <c r="AT31" s="167">
        <f t="shared" si="305"/>
        <v>236451.87474999484</v>
      </c>
      <c r="AU31" s="167">
        <f t="shared" si="305"/>
        <v>254185.7653562444</v>
      </c>
      <c r="AV31" s="167">
        <f t="shared" si="305"/>
        <v>273249.69775796274</v>
      </c>
      <c r="AW31" s="167">
        <f t="shared" si="305"/>
        <v>293743.42508980993</v>
      </c>
      <c r="AX31" s="167">
        <f t="shared" si="305"/>
        <v>315774.18197154562</v>
      </c>
      <c r="AY31" s="167">
        <f t="shared" si="305"/>
        <v>339457.24561941158</v>
      </c>
      <c r="AZ31" s="167">
        <f t="shared" si="305"/>
        <v>364916.53904086741</v>
      </c>
      <c r="BA31" s="167">
        <f t="shared" si="305"/>
        <v>392285.27946893248</v>
      </c>
      <c r="BB31" s="167">
        <f t="shared" si="305"/>
        <v>421706.67542910238</v>
      </c>
      <c r="BC31" s="167">
        <f t="shared" si="305"/>
        <v>453334.67608628504</v>
      </c>
      <c r="BD31" s="167">
        <f t="shared" si="305"/>
        <v>487334.7767927564</v>
      </c>
      <c r="BE31" s="167">
        <f t="shared" si="305"/>
        <v>523884.8850522131</v>
      </c>
      <c r="BF31" s="167">
        <f t="shared" si="305"/>
        <v>563176.25143112906</v>
      </c>
      <c r="BG31" s="167">
        <f t="shared" si="305"/>
        <v>605414.47028846375</v>
      </c>
      <c r="BH31" s="167">
        <f t="shared" si="305"/>
        <v>650820.5555600985</v>
      </c>
      <c r="BI31" s="167">
        <f t="shared" si="305"/>
        <v>699632.09722710587</v>
      </c>
      <c r="BJ31" s="167">
        <f t="shared" si="305"/>
        <v>752104.50451913872</v>
      </c>
      <c r="BK31" s="167">
        <f t="shared" si="305"/>
        <v>808512.34235807415</v>
      </c>
      <c r="BL31" s="167">
        <f t="shared" si="305"/>
        <v>869150.76803492964</v>
      </c>
      <c r="BM31" s="167">
        <f t="shared" si="305"/>
        <v>934337.07563754928</v>
      </c>
      <c r="BN31" s="167">
        <f t="shared" si="305"/>
        <v>1004412.3563103655</v>
      </c>
      <c r="BO31" s="167">
        <f t="shared" si="305"/>
        <v>1079743.2830336429</v>
      </c>
      <c r="BP31" s="167">
        <f t="shared" si="305"/>
        <v>1160724.029261166</v>
      </c>
      <c r="BQ31" s="167">
        <f t="shared" si="305"/>
        <v>1247778.3314557534</v>
      </c>
    </row>
    <row r="32" spans="1:69">
      <c r="H32" s="59"/>
      <c r="I32" s="348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</row>
    <row r="33" spans="1:69" s="12" customFormat="1"/>
    <row r="34" spans="1:69" s="10" customFormat="1">
      <c r="A34" s="354" t="s">
        <v>303</v>
      </c>
      <c r="B34" s="355"/>
      <c r="C34" s="355"/>
      <c r="D34" s="355"/>
      <c r="E34" s="355"/>
      <c r="F34" s="355"/>
      <c r="G34" s="355"/>
    </row>
    <row r="35" spans="1:69">
      <c r="B35" s="66"/>
      <c r="C35" s="381">
        <f>J35</f>
        <v>45261</v>
      </c>
      <c r="D35" s="381">
        <f>EDATE(C35,12)</f>
        <v>45627</v>
      </c>
      <c r="E35" s="381">
        <f t="shared" ref="E35" si="306">EDATE(D35,12)</f>
        <v>45992</v>
      </c>
      <c r="F35" s="381">
        <f t="shared" ref="F35" si="307">EDATE(E35,12)</f>
        <v>46357</v>
      </c>
      <c r="G35" s="381">
        <f t="shared" ref="G35" si="308">EDATE(F35,12)</f>
        <v>46722</v>
      </c>
      <c r="I35" s="133"/>
      <c r="J35" s="535">
        <f>'2) Assumptions'!$D$2</f>
        <v>45261</v>
      </c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>
        <f>'2) Assumptions'!$E$2</f>
        <v>45627</v>
      </c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>
        <f>'2) Assumptions'!$F$2</f>
        <v>45992</v>
      </c>
      <c r="AI35" s="535"/>
      <c r="AJ35" s="535"/>
      <c r="AK35" s="535"/>
      <c r="AL35" s="535"/>
      <c r="AM35" s="535"/>
      <c r="AN35" s="535"/>
      <c r="AO35" s="535"/>
      <c r="AP35" s="535"/>
      <c r="AQ35" s="535"/>
      <c r="AR35" s="535"/>
      <c r="AS35" s="535"/>
      <c r="AT35" s="535">
        <f>'2) Assumptions'!G$2</f>
        <v>46357</v>
      </c>
      <c r="AU35" s="535"/>
      <c r="AV35" s="535"/>
      <c r="AW35" s="535"/>
      <c r="AX35" s="535"/>
      <c r="AY35" s="535"/>
      <c r="AZ35" s="535"/>
      <c r="BA35" s="535"/>
      <c r="BB35" s="535"/>
      <c r="BC35" s="535"/>
      <c r="BD35" s="535"/>
      <c r="BE35" s="535"/>
      <c r="BF35" s="535">
        <f>'2) Assumptions'!$H$2</f>
        <v>46722</v>
      </c>
      <c r="BG35" s="535"/>
      <c r="BH35" s="535"/>
      <c r="BI35" s="535"/>
      <c r="BJ35" s="535"/>
      <c r="BK35" s="535"/>
      <c r="BL35" s="535"/>
      <c r="BM35" s="535"/>
      <c r="BN35" s="535"/>
      <c r="BO35" s="535"/>
      <c r="BP35" s="535"/>
      <c r="BQ35" s="535"/>
    </row>
    <row r="36" spans="1:69">
      <c r="B36" s="63" t="s">
        <v>29</v>
      </c>
      <c r="C36" s="61">
        <f>SUM(J42:U42)</f>
        <v>2072669.3985398926</v>
      </c>
      <c r="D36" s="61">
        <f>SUM(V42:AG42)</f>
        <v>4936641.6889690366</v>
      </c>
      <c r="E36" s="61">
        <f>SUM(AH42:AS42)</f>
        <v>11757992.462490642</v>
      </c>
      <c r="F36" s="61">
        <f>SUM(AT42:BE42)</f>
        <v>28004946.572668679</v>
      </c>
      <c r="G36" s="61">
        <f>SUM(BF42:BQ42)</f>
        <v>66701610.418611988</v>
      </c>
      <c r="I36" s="134"/>
      <c r="J36" s="135">
        <f>EDATE('2) Assumptions'!$D$5,0)</f>
        <v>44927</v>
      </c>
      <c r="K36" s="135">
        <f>EDATE('2) Assumptions'!$D$5,1)</f>
        <v>44958</v>
      </c>
      <c r="L36" s="135">
        <f>EDATE('2) Assumptions'!$D$5,2)</f>
        <v>44986</v>
      </c>
      <c r="M36" s="135">
        <f>EDATE('2) Assumptions'!$D$5,3)</f>
        <v>45017</v>
      </c>
      <c r="N36" s="135">
        <f>EDATE('2) Assumptions'!$D$5,4)</f>
        <v>45047</v>
      </c>
      <c r="O36" s="135">
        <f>EDATE('2) Assumptions'!$D$5,5)</f>
        <v>45078</v>
      </c>
      <c r="P36" s="135">
        <f>EDATE('2) Assumptions'!$D$5,6)</f>
        <v>45108</v>
      </c>
      <c r="Q36" s="135">
        <f>EDATE('2) Assumptions'!$D$5,7)</f>
        <v>45139</v>
      </c>
      <c r="R36" s="135">
        <f>EDATE('2) Assumptions'!$D$5,8)</f>
        <v>45170</v>
      </c>
      <c r="S36" s="135">
        <f>EDATE('2) Assumptions'!$D$5,9)</f>
        <v>45200</v>
      </c>
      <c r="T36" s="135">
        <f>EDATE('2) Assumptions'!$D$5,10)</f>
        <v>45231</v>
      </c>
      <c r="U36" s="135">
        <f>EDATE('2) Assumptions'!$D$5,11)</f>
        <v>45261</v>
      </c>
      <c r="V36" s="135">
        <f>EDATE('2) Assumptions'!$D$5,0)</f>
        <v>44927</v>
      </c>
      <c r="W36" s="135">
        <f>EDATE('2) Assumptions'!$D$5,1)</f>
        <v>44958</v>
      </c>
      <c r="X36" s="135">
        <f>EDATE('2) Assumptions'!$D$5,2)</f>
        <v>44986</v>
      </c>
      <c r="Y36" s="135">
        <f>EDATE('2) Assumptions'!$D$5,3)</f>
        <v>45017</v>
      </c>
      <c r="Z36" s="135">
        <f>EDATE('2) Assumptions'!$D$5,4)</f>
        <v>45047</v>
      </c>
      <c r="AA36" s="135">
        <f>EDATE('2) Assumptions'!$D$5,5)</f>
        <v>45078</v>
      </c>
      <c r="AB36" s="135">
        <f>EDATE('2) Assumptions'!$D$5,6)</f>
        <v>45108</v>
      </c>
      <c r="AC36" s="135">
        <f>EDATE('2) Assumptions'!$D$5,7)</f>
        <v>45139</v>
      </c>
      <c r="AD36" s="135">
        <f>EDATE('2) Assumptions'!$D$5,8)</f>
        <v>45170</v>
      </c>
      <c r="AE36" s="135">
        <f>EDATE('2) Assumptions'!$D$5,9)</f>
        <v>45200</v>
      </c>
      <c r="AF36" s="135">
        <f>EDATE('2) Assumptions'!$D$5,10)</f>
        <v>45231</v>
      </c>
      <c r="AG36" s="135">
        <f>EDATE('2) Assumptions'!$D$5,11)</f>
        <v>45261</v>
      </c>
      <c r="AH36" s="135">
        <f>EDATE('2) Assumptions'!$D$5,0)</f>
        <v>44927</v>
      </c>
      <c r="AI36" s="135">
        <f>EDATE('2) Assumptions'!$D$5,1)</f>
        <v>44958</v>
      </c>
      <c r="AJ36" s="135">
        <f>EDATE('2) Assumptions'!$D$5,2)</f>
        <v>44986</v>
      </c>
      <c r="AK36" s="135">
        <f>EDATE('2) Assumptions'!$D$5,3)</f>
        <v>45017</v>
      </c>
      <c r="AL36" s="135">
        <f>EDATE('2) Assumptions'!$D$5,4)</f>
        <v>45047</v>
      </c>
      <c r="AM36" s="135">
        <f>EDATE('2) Assumptions'!$D$5,5)</f>
        <v>45078</v>
      </c>
      <c r="AN36" s="135">
        <f>EDATE('2) Assumptions'!$D$5,6)</f>
        <v>45108</v>
      </c>
      <c r="AO36" s="135">
        <f>EDATE('2) Assumptions'!$D$5,7)</f>
        <v>45139</v>
      </c>
      <c r="AP36" s="135">
        <f>EDATE('2) Assumptions'!$D$5,8)</f>
        <v>45170</v>
      </c>
      <c r="AQ36" s="135">
        <f>EDATE('2) Assumptions'!$D$5,9)</f>
        <v>45200</v>
      </c>
      <c r="AR36" s="135">
        <f>EDATE('2) Assumptions'!$D$5,10)</f>
        <v>45231</v>
      </c>
      <c r="AS36" s="135">
        <f>EDATE('2) Assumptions'!$D$5,11)</f>
        <v>45261</v>
      </c>
      <c r="AT36" s="135">
        <f>EDATE('2) Assumptions'!$D$5,0)</f>
        <v>44927</v>
      </c>
      <c r="AU36" s="135">
        <f>EDATE('2) Assumptions'!$D$5,1)</f>
        <v>44958</v>
      </c>
      <c r="AV36" s="135">
        <f>EDATE('2) Assumptions'!$D$5,2)</f>
        <v>44986</v>
      </c>
      <c r="AW36" s="135">
        <f>EDATE('2) Assumptions'!$D$5,3)</f>
        <v>45017</v>
      </c>
      <c r="AX36" s="135">
        <f>EDATE('2) Assumptions'!$D$5,4)</f>
        <v>45047</v>
      </c>
      <c r="AY36" s="135">
        <f>EDATE('2) Assumptions'!$D$5,5)</f>
        <v>45078</v>
      </c>
      <c r="AZ36" s="135">
        <f>EDATE('2) Assumptions'!$D$5,6)</f>
        <v>45108</v>
      </c>
      <c r="BA36" s="135">
        <f>EDATE('2) Assumptions'!$D$5,7)</f>
        <v>45139</v>
      </c>
      <c r="BB36" s="135">
        <f>EDATE('2) Assumptions'!$D$5,8)</f>
        <v>45170</v>
      </c>
      <c r="BC36" s="135">
        <f>EDATE('2) Assumptions'!$D$5,9)</f>
        <v>45200</v>
      </c>
      <c r="BD36" s="135">
        <f>EDATE('2) Assumptions'!$D$5,10)</f>
        <v>45231</v>
      </c>
      <c r="BE36" s="135">
        <f>EDATE('2) Assumptions'!$D$5,11)</f>
        <v>45261</v>
      </c>
      <c r="BF36" s="135">
        <f>EDATE('2) Assumptions'!$D$5,0)</f>
        <v>44927</v>
      </c>
      <c r="BG36" s="135">
        <f>EDATE('2) Assumptions'!$D$5,1)</f>
        <v>44958</v>
      </c>
      <c r="BH36" s="135">
        <f>EDATE('2) Assumptions'!$D$5,2)</f>
        <v>44986</v>
      </c>
      <c r="BI36" s="135">
        <f>EDATE('2) Assumptions'!$D$5,3)</f>
        <v>45017</v>
      </c>
      <c r="BJ36" s="135">
        <f>EDATE('2) Assumptions'!$D$5,4)</f>
        <v>45047</v>
      </c>
      <c r="BK36" s="135">
        <f>EDATE('2) Assumptions'!$D$5,5)</f>
        <v>45078</v>
      </c>
      <c r="BL36" s="135">
        <f>EDATE('2) Assumptions'!$D$5,6)</f>
        <v>45108</v>
      </c>
      <c r="BM36" s="135">
        <f>EDATE('2) Assumptions'!$D$5,7)</f>
        <v>45139</v>
      </c>
      <c r="BN36" s="135">
        <f>EDATE('2) Assumptions'!$D$5,8)</f>
        <v>45170</v>
      </c>
      <c r="BO36" s="135">
        <f>EDATE('2) Assumptions'!$D$5,9)</f>
        <v>45200</v>
      </c>
      <c r="BP36" s="135">
        <f>EDATE('2) Assumptions'!$D$5,10)</f>
        <v>45231</v>
      </c>
      <c r="BQ36" s="135">
        <f>EDATE('2) Assumptions'!$D$5,11)</f>
        <v>45261</v>
      </c>
    </row>
    <row r="37" spans="1:69">
      <c r="B37" s="63" t="s">
        <v>296</v>
      </c>
      <c r="C37" s="61">
        <f>SUM(J46:U46)</f>
        <v>207266.93985398926</v>
      </c>
      <c r="D37" s="61">
        <f>SUM(V46:AG46)</f>
        <v>493664.16889690369</v>
      </c>
      <c r="E37" s="61">
        <f>SUM(AH46:AS46)</f>
        <v>1175799.2462490641</v>
      </c>
      <c r="F37" s="61">
        <f>SUM(AT46:BE46)</f>
        <v>2800494.6572668678</v>
      </c>
      <c r="G37" s="61">
        <f>SUM(BF46:BQ46)</f>
        <v>6670161.0418611998</v>
      </c>
      <c r="H37" s="18"/>
      <c r="I37" s="63" t="s">
        <v>137</v>
      </c>
      <c r="J37" s="270"/>
      <c r="K37" s="183">
        <v>7.4999999999999997E-2</v>
      </c>
      <c r="L37" s="183">
        <f>K37</f>
        <v>7.4999999999999997E-2</v>
      </c>
      <c r="M37" s="183">
        <f t="shared" ref="M37" si="309">L37</f>
        <v>7.4999999999999997E-2</v>
      </c>
      <c r="N37" s="183">
        <f t="shared" ref="N37" si="310">M37</f>
        <v>7.4999999999999997E-2</v>
      </c>
      <c r="O37" s="183">
        <f t="shared" ref="O37" si="311">N37</f>
        <v>7.4999999999999997E-2</v>
      </c>
      <c r="P37" s="183">
        <f t="shared" ref="P37" si="312">O37</f>
        <v>7.4999999999999997E-2</v>
      </c>
      <c r="Q37" s="183">
        <f t="shared" ref="Q37" si="313">P37</f>
        <v>7.4999999999999997E-2</v>
      </c>
      <c r="R37" s="183">
        <f t="shared" ref="R37" si="314">Q37</f>
        <v>7.4999999999999997E-2</v>
      </c>
      <c r="S37" s="183">
        <f t="shared" ref="S37" si="315">R37</f>
        <v>7.4999999999999997E-2</v>
      </c>
      <c r="T37" s="183">
        <f t="shared" ref="T37" si="316">S37</f>
        <v>7.4999999999999997E-2</v>
      </c>
      <c r="U37" s="183">
        <f t="shared" ref="U37" si="317">T37</f>
        <v>7.4999999999999997E-2</v>
      </c>
      <c r="V37" s="183">
        <f t="shared" ref="V37" si="318">U37</f>
        <v>7.4999999999999997E-2</v>
      </c>
      <c r="W37" s="183">
        <f t="shared" ref="W37" si="319">V37</f>
        <v>7.4999999999999997E-2</v>
      </c>
      <c r="X37" s="183">
        <f t="shared" ref="X37" si="320">W37</f>
        <v>7.4999999999999997E-2</v>
      </c>
      <c r="Y37" s="183">
        <f t="shared" ref="Y37" si="321">X37</f>
        <v>7.4999999999999997E-2</v>
      </c>
      <c r="Z37" s="183">
        <f t="shared" ref="Z37" si="322">Y37</f>
        <v>7.4999999999999997E-2</v>
      </c>
      <c r="AA37" s="183">
        <f t="shared" ref="AA37" si="323">Z37</f>
        <v>7.4999999999999997E-2</v>
      </c>
      <c r="AB37" s="183">
        <f t="shared" ref="AB37" si="324">AA37</f>
        <v>7.4999999999999997E-2</v>
      </c>
      <c r="AC37" s="183">
        <f t="shared" ref="AC37" si="325">AB37</f>
        <v>7.4999999999999997E-2</v>
      </c>
      <c r="AD37" s="183">
        <f t="shared" ref="AD37" si="326">AC37</f>
        <v>7.4999999999999997E-2</v>
      </c>
      <c r="AE37" s="183">
        <f t="shared" ref="AE37" si="327">AD37</f>
        <v>7.4999999999999997E-2</v>
      </c>
      <c r="AF37" s="183">
        <f t="shared" ref="AF37" si="328">AE37</f>
        <v>7.4999999999999997E-2</v>
      </c>
      <c r="AG37" s="183">
        <f t="shared" ref="AG37" si="329">AF37</f>
        <v>7.4999999999999997E-2</v>
      </c>
      <c r="AH37" s="183">
        <f t="shared" ref="AH37" si="330">AG37</f>
        <v>7.4999999999999997E-2</v>
      </c>
      <c r="AI37" s="183">
        <f t="shared" ref="AI37" si="331">AH37</f>
        <v>7.4999999999999997E-2</v>
      </c>
      <c r="AJ37" s="183">
        <f t="shared" ref="AJ37" si="332">AI37</f>
        <v>7.4999999999999997E-2</v>
      </c>
      <c r="AK37" s="183">
        <f t="shared" ref="AK37" si="333">AJ37</f>
        <v>7.4999999999999997E-2</v>
      </c>
      <c r="AL37" s="183">
        <f t="shared" ref="AL37" si="334">AK37</f>
        <v>7.4999999999999997E-2</v>
      </c>
      <c r="AM37" s="183">
        <f t="shared" ref="AM37" si="335">AL37</f>
        <v>7.4999999999999997E-2</v>
      </c>
      <c r="AN37" s="183">
        <f t="shared" ref="AN37" si="336">AM37</f>
        <v>7.4999999999999997E-2</v>
      </c>
      <c r="AO37" s="183">
        <f t="shared" ref="AO37" si="337">AN37</f>
        <v>7.4999999999999997E-2</v>
      </c>
      <c r="AP37" s="183">
        <f t="shared" ref="AP37" si="338">AO37</f>
        <v>7.4999999999999997E-2</v>
      </c>
      <c r="AQ37" s="183">
        <f t="shared" ref="AQ37" si="339">AP37</f>
        <v>7.4999999999999997E-2</v>
      </c>
      <c r="AR37" s="183">
        <f t="shared" ref="AR37" si="340">AQ37</f>
        <v>7.4999999999999997E-2</v>
      </c>
      <c r="AS37" s="183">
        <f t="shared" ref="AS37" si="341">AR37</f>
        <v>7.4999999999999997E-2</v>
      </c>
      <c r="AT37" s="183">
        <f t="shared" ref="AT37" si="342">AS37</f>
        <v>7.4999999999999997E-2</v>
      </c>
      <c r="AU37" s="183">
        <f t="shared" ref="AU37" si="343">AT37</f>
        <v>7.4999999999999997E-2</v>
      </c>
      <c r="AV37" s="183">
        <f t="shared" ref="AV37" si="344">AU37</f>
        <v>7.4999999999999997E-2</v>
      </c>
      <c r="AW37" s="183">
        <f t="shared" ref="AW37" si="345">AV37</f>
        <v>7.4999999999999997E-2</v>
      </c>
      <c r="AX37" s="183">
        <f t="shared" ref="AX37" si="346">AW37</f>
        <v>7.4999999999999997E-2</v>
      </c>
      <c r="AY37" s="183">
        <f t="shared" ref="AY37" si="347">AX37</f>
        <v>7.4999999999999997E-2</v>
      </c>
      <c r="AZ37" s="183">
        <f t="shared" ref="AZ37" si="348">AY37</f>
        <v>7.4999999999999997E-2</v>
      </c>
      <c r="BA37" s="183">
        <f t="shared" ref="BA37" si="349">AZ37</f>
        <v>7.4999999999999997E-2</v>
      </c>
      <c r="BB37" s="183">
        <f t="shared" ref="BB37" si="350">BA37</f>
        <v>7.4999999999999997E-2</v>
      </c>
      <c r="BC37" s="183">
        <f t="shared" ref="BC37" si="351">BB37</f>
        <v>7.4999999999999997E-2</v>
      </c>
      <c r="BD37" s="183">
        <f t="shared" ref="BD37" si="352">BC37</f>
        <v>7.4999999999999997E-2</v>
      </c>
      <c r="BE37" s="183">
        <f t="shared" ref="BE37" si="353">BD37</f>
        <v>7.4999999999999997E-2</v>
      </c>
      <c r="BF37" s="183">
        <f t="shared" ref="BF37" si="354">BE37</f>
        <v>7.4999999999999997E-2</v>
      </c>
      <c r="BG37" s="183">
        <f t="shared" ref="BG37" si="355">BF37</f>
        <v>7.4999999999999997E-2</v>
      </c>
      <c r="BH37" s="183">
        <f t="shared" ref="BH37" si="356">BG37</f>
        <v>7.4999999999999997E-2</v>
      </c>
      <c r="BI37" s="183">
        <f t="shared" ref="BI37" si="357">BH37</f>
        <v>7.4999999999999997E-2</v>
      </c>
      <c r="BJ37" s="183">
        <f t="shared" ref="BJ37" si="358">BI37</f>
        <v>7.4999999999999997E-2</v>
      </c>
      <c r="BK37" s="183">
        <f t="shared" ref="BK37" si="359">BJ37</f>
        <v>7.4999999999999997E-2</v>
      </c>
      <c r="BL37" s="183">
        <f t="shared" ref="BL37" si="360">BK37</f>
        <v>7.4999999999999997E-2</v>
      </c>
      <c r="BM37" s="183">
        <f t="shared" ref="BM37" si="361">BL37</f>
        <v>7.4999999999999997E-2</v>
      </c>
      <c r="BN37" s="183">
        <f t="shared" ref="BN37" si="362">BM37</f>
        <v>7.4999999999999997E-2</v>
      </c>
      <c r="BO37" s="183">
        <f t="shared" ref="BO37" si="363">BN37</f>
        <v>7.4999999999999997E-2</v>
      </c>
      <c r="BP37" s="183">
        <f t="shared" ref="BP37" si="364">BO37</f>
        <v>7.4999999999999997E-2</v>
      </c>
      <c r="BQ37" s="183">
        <f t="shared" ref="BQ37" si="365">BP37</f>
        <v>7.4999999999999997E-2</v>
      </c>
    </row>
    <row r="38" spans="1:69">
      <c r="E38" s="61"/>
      <c r="F38" s="61"/>
      <c r="G38" s="61"/>
      <c r="I38" s="109" t="s">
        <v>306</v>
      </c>
      <c r="J38" s="268">
        <v>15000</v>
      </c>
      <c r="K38" s="166">
        <f t="shared" ref="K38" si="366">J38*(1+K37)</f>
        <v>16125</v>
      </c>
      <c r="L38" s="166">
        <f t="shared" ref="L38" si="367">K38*(1+L37)</f>
        <v>17334.375</v>
      </c>
      <c r="M38" s="166">
        <f t="shared" ref="M38" si="368">L38*(1+M37)</f>
        <v>18634.453125</v>
      </c>
      <c r="N38" s="166">
        <f t="shared" ref="N38" si="369">M38*(1+N37)</f>
        <v>20032.037109375</v>
      </c>
      <c r="O38" s="166">
        <f t="shared" ref="O38" si="370">N38*(1+O37)</f>
        <v>21534.439892578124</v>
      </c>
      <c r="P38" s="166">
        <f t="shared" ref="P38" si="371">O38*(1+P37)</f>
        <v>23149.522884521484</v>
      </c>
      <c r="Q38" s="166">
        <f t="shared" ref="Q38" si="372">P38*(1+Q37)</f>
        <v>24885.737100860595</v>
      </c>
      <c r="R38" s="166">
        <f t="shared" ref="R38" si="373">Q38*(1+R37)</f>
        <v>26752.167383425138</v>
      </c>
      <c r="S38" s="166">
        <f t="shared" ref="S38" si="374">R38*(1+S37)</f>
        <v>28758.579937182021</v>
      </c>
      <c r="T38" s="166">
        <f t="shared" ref="T38" si="375">S38*(1+T37)</f>
        <v>30915.473432470673</v>
      </c>
      <c r="U38" s="166">
        <f t="shared" ref="U38" si="376">T38*(1+U37)</f>
        <v>33234.133939905973</v>
      </c>
      <c r="V38" s="166">
        <f t="shared" ref="V38" si="377">U38*(1+V37)</f>
        <v>35726.693985398917</v>
      </c>
      <c r="W38" s="166">
        <f t="shared" ref="W38" si="378">V38*(1+W37)</f>
        <v>38406.196034303837</v>
      </c>
      <c r="X38" s="166">
        <f t="shared" ref="X38" si="379">W38*(1+X37)</f>
        <v>41286.66073687662</v>
      </c>
      <c r="Y38" s="166">
        <f t="shared" ref="Y38" si="380">X38*(1+Y37)</f>
        <v>44383.160292142362</v>
      </c>
      <c r="Z38" s="166">
        <f t="shared" ref="Z38" si="381">Y38*(1+Z37)</f>
        <v>47711.897314053036</v>
      </c>
      <c r="AA38" s="166">
        <f t="shared" ref="AA38" si="382">Z38*(1+AA37)</f>
        <v>51290.289612607012</v>
      </c>
      <c r="AB38" s="166">
        <f t="shared" ref="AB38" si="383">AA38*(1+AB37)</f>
        <v>55137.061333552534</v>
      </c>
      <c r="AC38" s="166">
        <f t="shared" ref="AC38" si="384">AB38*(1+AC37)</f>
        <v>59272.340933568972</v>
      </c>
      <c r="AD38" s="166">
        <f t="shared" ref="AD38" si="385">AC38*(1+AD37)</f>
        <v>63717.766503586645</v>
      </c>
      <c r="AE38" s="166">
        <f t="shared" ref="AE38" si="386">AD38*(1+AE37)</f>
        <v>68496.59899135564</v>
      </c>
      <c r="AF38" s="166">
        <f t="shared" ref="AF38" si="387">AE38*(1+AF37)</f>
        <v>73633.843915707315</v>
      </c>
      <c r="AG38" s="166">
        <f t="shared" ref="AG38" si="388">AF38*(1+AG37)</f>
        <v>79156.382209385367</v>
      </c>
      <c r="AH38" s="166">
        <f t="shared" ref="AH38" si="389">AG38*(1+AH37)</f>
        <v>85093.11087508926</v>
      </c>
      <c r="AI38" s="166">
        <f t="shared" ref="AI38" si="390">AH38*(1+AI37)</f>
        <v>91475.094190720949</v>
      </c>
      <c r="AJ38" s="166">
        <f t="shared" ref="AJ38" si="391">AI38*(1+AJ37)</f>
        <v>98335.726255025016</v>
      </c>
      <c r="AK38" s="166">
        <f t="shared" ref="AK38" si="392">AJ38*(1+AK37)</f>
        <v>105710.90572415189</v>
      </c>
      <c r="AL38" s="166">
        <f t="shared" ref="AL38" si="393">AK38*(1+AL37)</f>
        <v>113639.22365346328</v>
      </c>
      <c r="AM38" s="166">
        <f t="shared" ref="AM38" si="394">AL38*(1+AM37)</f>
        <v>122162.16542747302</v>
      </c>
      <c r="AN38" s="166">
        <f t="shared" ref="AN38" si="395">AM38*(1+AN37)</f>
        <v>131324.3278345335</v>
      </c>
      <c r="AO38" s="166">
        <f t="shared" ref="AO38" si="396">AN38*(1+AO37)</f>
        <v>141173.6524221235</v>
      </c>
      <c r="AP38" s="166">
        <f t="shared" ref="AP38" si="397">AO38*(1+AP37)</f>
        <v>151761.67635378276</v>
      </c>
      <c r="AQ38" s="166">
        <f t="shared" ref="AQ38" si="398">AP38*(1+AQ37)</f>
        <v>163143.80208031647</v>
      </c>
      <c r="AR38" s="166">
        <f t="shared" ref="AR38" si="399">AQ38*(1+AR37)</f>
        <v>175379.58723634019</v>
      </c>
      <c r="AS38" s="166">
        <f t="shared" ref="AS38" si="400">AR38*(1+AS37)</f>
        <v>188533.0562790657</v>
      </c>
      <c r="AT38" s="166">
        <f t="shared" ref="AT38" si="401">AS38*(1+AT37)</f>
        <v>202673.0354999956</v>
      </c>
      <c r="AU38" s="166">
        <f t="shared" ref="AU38" si="402">AT38*(1+AU37)</f>
        <v>217873.51316249528</v>
      </c>
      <c r="AV38" s="166">
        <f t="shared" ref="AV38" si="403">AU38*(1+AV37)</f>
        <v>234214.0266496824</v>
      </c>
      <c r="AW38" s="166">
        <f t="shared" ref="AW38" si="404">AV38*(1+AW37)</f>
        <v>251780.07864840858</v>
      </c>
      <c r="AX38" s="166">
        <f t="shared" ref="AX38" si="405">AW38*(1+AX37)</f>
        <v>270663.58454703924</v>
      </c>
      <c r="AY38" s="166">
        <f t="shared" ref="AY38" si="406">AX38*(1+AY37)</f>
        <v>290963.35338806716</v>
      </c>
      <c r="AZ38" s="166">
        <f t="shared" ref="AZ38" si="407">AY38*(1+AZ37)</f>
        <v>312785.60489217221</v>
      </c>
      <c r="BA38" s="166">
        <f t="shared" ref="BA38" si="408">AZ38*(1+BA37)</f>
        <v>336244.52525908512</v>
      </c>
      <c r="BB38" s="166">
        <f t="shared" ref="BB38" si="409">BA38*(1+BB37)</f>
        <v>361462.8646535165</v>
      </c>
      <c r="BC38" s="166">
        <f t="shared" ref="BC38" si="410">BB38*(1+BC37)</f>
        <v>388572.57950253022</v>
      </c>
      <c r="BD38" s="166">
        <f t="shared" ref="BD38" si="411">BC38*(1+BD37)</f>
        <v>417715.52296521998</v>
      </c>
      <c r="BE38" s="166">
        <f t="shared" ref="BE38" si="412">BD38*(1+BE37)</f>
        <v>449044.18718761147</v>
      </c>
      <c r="BF38" s="166">
        <f t="shared" ref="BF38" si="413">BE38*(1+BF37)</f>
        <v>482722.50122668233</v>
      </c>
      <c r="BG38" s="166">
        <f t="shared" ref="BG38" si="414">BF38*(1+BG37)</f>
        <v>518926.6888186835</v>
      </c>
      <c r="BH38" s="166">
        <f t="shared" ref="BH38" si="415">BG38*(1+BH37)</f>
        <v>557846.19048008474</v>
      </c>
      <c r="BI38" s="166">
        <f t="shared" ref="BI38" si="416">BH38*(1+BI37)</f>
        <v>599684.65476609103</v>
      </c>
      <c r="BJ38" s="166">
        <f t="shared" ref="BJ38" si="417">BI38*(1+BJ37)</f>
        <v>644661.00387354777</v>
      </c>
      <c r="BK38" s="166">
        <f t="shared" ref="BK38" si="418">BJ38*(1+BK37)</f>
        <v>693010.57916406379</v>
      </c>
      <c r="BL38" s="166">
        <f t="shared" ref="BL38" si="419">BK38*(1+BL37)</f>
        <v>744986.37260136858</v>
      </c>
      <c r="BM38" s="166">
        <f t="shared" ref="BM38" si="420">BL38*(1+BM37)</f>
        <v>800860.35054647119</v>
      </c>
      <c r="BN38" s="166">
        <f t="shared" ref="BN38" si="421">BM38*(1+BN37)</f>
        <v>860924.87683745648</v>
      </c>
      <c r="BO38" s="166">
        <f t="shared" ref="BO38" si="422">BN38*(1+BO37)</f>
        <v>925494.24260026566</v>
      </c>
      <c r="BP38" s="166">
        <f t="shared" ref="BP38" si="423">BO38*(1+BP37)</f>
        <v>994906.31079528551</v>
      </c>
      <c r="BQ38" s="166">
        <f t="shared" ref="BQ38" si="424">BP38*(1+BQ37)</f>
        <v>1069524.2841049319</v>
      </c>
    </row>
    <row r="39" spans="1:69">
      <c r="E39" s="61"/>
      <c r="F39" s="61"/>
      <c r="G39" s="61"/>
      <c r="H39" s="59"/>
      <c r="I39" s="63"/>
      <c r="J39" s="8"/>
    </row>
    <row r="40" spans="1:69">
      <c r="E40" s="61"/>
      <c r="F40" s="61"/>
      <c r="G40" s="61"/>
      <c r="I40" s="173" t="s">
        <v>302</v>
      </c>
      <c r="J40" s="529">
        <v>7.5</v>
      </c>
      <c r="K40" s="166">
        <f>J40</f>
        <v>7.5</v>
      </c>
      <c r="L40" s="166">
        <f t="shared" ref="L40" si="425">K40</f>
        <v>7.5</v>
      </c>
      <c r="M40" s="166">
        <f t="shared" ref="M40" si="426">L40</f>
        <v>7.5</v>
      </c>
      <c r="N40" s="166">
        <f t="shared" ref="N40" si="427">M40</f>
        <v>7.5</v>
      </c>
      <c r="O40" s="166">
        <f t="shared" ref="O40" si="428">N40</f>
        <v>7.5</v>
      </c>
      <c r="P40" s="166">
        <f t="shared" ref="P40" si="429">O40</f>
        <v>7.5</v>
      </c>
      <c r="Q40" s="166">
        <f t="shared" ref="Q40" si="430">P40</f>
        <v>7.5</v>
      </c>
      <c r="R40" s="166">
        <f t="shared" ref="R40" si="431">Q40</f>
        <v>7.5</v>
      </c>
      <c r="S40" s="166">
        <f t="shared" ref="S40" si="432">R40</f>
        <v>7.5</v>
      </c>
      <c r="T40" s="166">
        <f t="shared" ref="T40" si="433">S40</f>
        <v>7.5</v>
      </c>
      <c r="U40" s="166">
        <f t="shared" ref="U40" si="434">T40</f>
        <v>7.5</v>
      </c>
      <c r="V40" s="166">
        <f t="shared" ref="V40" si="435">U40</f>
        <v>7.5</v>
      </c>
      <c r="W40" s="166">
        <f t="shared" ref="W40" si="436">V40</f>
        <v>7.5</v>
      </c>
      <c r="X40" s="166">
        <f t="shared" ref="X40" si="437">W40</f>
        <v>7.5</v>
      </c>
      <c r="Y40" s="166">
        <f t="shared" ref="Y40" si="438">X40</f>
        <v>7.5</v>
      </c>
      <c r="Z40" s="166">
        <f t="shared" ref="Z40" si="439">Y40</f>
        <v>7.5</v>
      </c>
      <c r="AA40" s="166">
        <f t="shared" ref="AA40" si="440">Z40</f>
        <v>7.5</v>
      </c>
      <c r="AB40" s="166">
        <f t="shared" ref="AB40" si="441">AA40</f>
        <v>7.5</v>
      </c>
      <c r="AC40" s="166">
        <f t="shared" ref="AC40" si="442">AB40</f>
        <v>7.5</v>
      </c>
      <c r="AD40" s="166">
        <f t="shared" ref="AD40" si="443">AC40</f>
        <v>7.5</v>
      </c>
      <c r="AE40" s="166">
        <f t="shared" ref="AE40" si="444">AD40</f>
        <v>7.5</v>
      </c>
      <c r="AF40" s="166">
        <f t="shared" ref="AF40" si="445">AE40</f>
        <v>7.5</v>
      </c>
      <c r="AG40" s="166">
        <f t="shared" ref="AG40" si="446">AF40</f>
        <v>7.5</v>
      </c>
      <c r="AH40" s="166">
        <f t="shared" ref="AH40" si="447">AG40</f>
        <v>7.5</v>
      </c>
      <c r="AI40" s="166">
        <f t="shared" ref="AI40" si="448">AH40</f>
        <v>7.5</v>
      </c>
      <c r="AJ40" s="166">
        <f t="shared" ref="AJ40" si="449">AI40</f>
        <v>7.5</v>
      </c>
      <c r="AK40" s="166">
        <f t="shared" ref="AK40" si="450">AJ40</f>
        <v>7.5</v>
      </c>
      <c r="AL40" s="166">
        <f t="shared" ref="AL40" si="451">AK40</f>
        <v>7.5</v>
      </c>
      <c r="AM40" s="166">
        <f t="shared" ref="AM40" si="452">AL40</f>
        <v>7.5</v>
      </c>
      <c r="AN40" s="166">
        <f t="shared" ref="AN40" si="453">AM40</f>
        <v>7.5</v>
      </c>
      <c r="AO40" s="166">
        <f t="shared" ref="AO40" si="454">AN40</f>
        <v>7.5</v>
      </c>
      <c r="AP40" s="166">
        <f t="shared" ref="AP40" si="455">AO40</f>
        <v>7.5</v>
      </c>
      <c r="AQ40" s="166">
        <f t="shared" ref="AQ40" si="456">AP40</f>
        <v>7.5</v>
      </c>
      <c r="AR40" s="166">
        <f t="shared" ref="AR40" si="457">AQ40</f>
        <v>7.5</v>
      </c>
      <c r="AS40" s="166">
        <f t="shared" ref="AS40" si="458">AR40</f>
        <v>7.5</v>
      </c>
      <c r="AT40" s="166">
        <f t="shared" ref="AT40" si="459">AS40</f>
        <v>7.5</v>
      </c>
      <c r="AU40" s="166">
        <f t="shared" ref="AU40" si="460">AT40</f>
        <v>7.5</v>
      </c>
      <c r="AV40" s="166">
        <f t="shared" ref="AV40" si="461">AU40</f>
        <v>7.5</v>
      </c>
      <c r="AW40" s="166">
        <f t="shared" ref="AW40" si="462">AV40</f>
        <v>7.5</v>
      </c>
      <c r="AX40" s="166">
        <f t="shared" ref="AX40" si="463">AW40</f>
        <v>7.5</v>
      </c>
      <c r="AY40" s="166">
        <f t="shared" ref="AY40" si="464">AX40</f>
        <v>7.5</v>
      </c>
      <c r="AZ40" s="166">
        <f t="shared" ref="AZ40" si="465">AY40</f>
        <v>7.5</v>
      </c>
      <c r="BA40" s="166">
        <f t="shared" ref="BA40" si="466">AZ40</f>
        <v>7.5</v>
      </c>
      <c r="BB40" s="166">
        <f t="shared" ref="BB40" si="467">BA40</f>
        <v>7.5</v>
      </c>
      <c r="BC40" s="166">
        <f t="shared" ref="BC40" si="468">BB40</f>
        <v>7.5</v>
      </c>
      <c r="BD40" s="166">
        <f t="shared" ref="BD40" si="469">BC40</f>
        <v>7.5</v>
      </c>
      <c r="BE40" s="166">
        <f t="shared" ref="BE40" si="470">BD40</f>
        <v>7.5</v>
      </c>
      <c r="BF40" s="166">
        <f t="shared" ref="BF40" si="471">BE40</f>
        <v>7.5</v>
      </c>
      <c r="BG40" s="166">
        <f t="shared" ref="BG40" si="472">BF40</f>
        <v>7.5</v>
      </c>
      <c r="BH40" s="166">
        <f t="shared" ref="BH40" si="473">BG40</f>
        <v>7.5</v>
      </c>
      <c r="BI40" s="166">
        <f t="shared" ref="BI40" si="474">BH40</f>
        <v>7.5</v>
      </c>
      <c r="BJ40" s="166">
        <f t="shared" ref="BJ40" si="475">BI40</f>
        <v>7.5</v>
      </c>
      <c r="BK40" s="166">
        <f t="shared" ref="BK40" si="476">BJ40</f>
        <v>7.5</v>
      </c>
      <c r="BL40" s="166">
        <f t="shared" ref="BL40" si="477">BK40</f>
        <v>7.5</v>
      </c>
      <c r="BM40" s="166">
        <f t="shared" ref="BM40" si="478">BL40</f>
        <v>7.5</v>
      </c>
      <c r="BN40" s="166">
        <f t="shared" ref="BN40" si="479">BM40</f>
        <v>7.5</v>
      </c>
      <c r="BO40" s="166">
        <f t="shared" ref="BO40" si="480">BN40</f>
        <v>7.5</v>
      </c>
      <c r="BP40" s="166">
        <f t="shared" ref="BP40" si="481">BO40</f>
        <v>7.5</v>
      </c>
      <c r="BQ40" s="166">
        <f t="shared" ref="BQ40" si="482">BP40</f>
        <v>7.5</v>
      </c>
    </row>
    <row r="41" spans="1:69">
      <c r="E41" s="61"/>
      <c r="F41" s="61"/>
      <c r="G41" s="61"/>
      <c r="I41" s="173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</row>
    <row r="42" spans="1:69">
      <c r="I42" s="269" t="s">
        <v>29</v>
      </c>
      <c r="J42" s="167">
        <f t="shared" ref="J42:BQ42" si="483">J40*J38</f>
        <v>112500</v>
      </c>
      <c r="K42" s="167">
        <f t="shared" si="483"/>
        <v>120937.5</v>
      </c>
      <c r="L42" s="167">
        <f t="shared" si="483"/>
        <v>130007.8125</v>
      </c>
      <c r="M42" s="167">
        <f t="shared" si="483"/>
        <v>139758.3984375</v>
      </c>
      <c r="N42" s="167">
        <f t="shared" si="483"/>
        <v>150240.2783203125</v>
      </c>
      <c r="O42" s="167">
        <f t="shared" si="483"/>
        <v>161508.29919433594</v>
      </c>
      <c r="P42" s="167">
        <f t="shared" si="483"/>
        <v>173621.42163391114</v>
      </c>
      <c r="Q42" s="167">
        <f t="shared" si="483"/>
        <v>186643.02825645448</v>
      </c>
      <c r="R42" s="167">
        <f t="shared" si="483"/>
        <v>200641.25537568855</v>
      </c>
      <c r="S42" s="167">
        <f t="shared" si="483"/>
        <v>215689.34952886516</v>
      </c>
      <c r="T42" s="167">
        <f t="shared" si="483"/>
        <v>231866.05074353004</v>
      </c>
      <c r="U42" s="167">
        <f t="shared" si="483"/>
        <v>249256.0045492948</v>
      </c>
      <c r="V42" s="167">
        <f t="shared" si="483"/>
        <v>267950.20489049191</v>
      </c>
      <c r="W42" s="167">
        <f t="shared" si="483"/>
        <v>288046.47025727876</v>
      </c>
      <c r="X42" s="167">
        <f t="shared" si="483"/>
        <v>309649.95552657463</v>
      </c>
      <c r="Y42" s="167">
        <f t="shared" si="483"/>
        <v>332873.70219106774</v>
      </c>
      <c r="Z42" s="167">
        <f t="shared" si="483"/>
        <v>357839.22985539777</v>
      </c>
      <c r="AA42" s="167">
        <f t="shared" si="483"/>
        <v>384677.1720945526</v>
      </c>
      <c r="AB42" s="167">
        <f t="shared" si="483"/>
        <v>413527.96000164398</v>
      </c>
      <c r="AC42" s="167">
        <f t="shared" si="483"/>
        <v>444542.55700176727</v>
      </c>
      <c r="AD42" s="167">
        <f t="shared" si="483"/>
        <v>477883.24877689983</v>
      </c>
      <c r="AE42" s="167">
        <f t="shared" si="483"/>
        <v>513724.49243516731</v>
      </c>
      <c r="AF42" s="167">
        <f t="shared" si="483"/>
        <v>552253.82936780481</v>
      </c>
      <c r="AG42" s="167">
        <f t="shared" si="483"/>
        <v>593672.8665703903</v>
      </c>
      <c r="AH42" s="167">
        <f t="shared" si="483"/>
        <v>638198.33156316949</v>
      </c>
      <c r="AI42" s="167">
        <f t="shared" si="483"/>
        <v>686063.20643040712</v>
      </c>
      <c r="AJ42" s="167">
        <f t="shared" si="483"/>
        <v>737517.94691268762</v>
      </c>
      <c r="AK42" s="167">
        <f t="shared" si="483"/>
        <v>792831.79293113912</v>
      </c>
      <c r="AL42" s="167">
        <f t="shared" si="483"/>
        <v>852294.17740097467</v>
      </c>
      <c r="AM42" s="167">
        <f t="shared" si="483"/>
        <v>916216.24070604774</v>
      </c>
      <c r="AN42" s="167">
        <f t="shared" si="483"/>
        <v>984932.45875900122</v>
      </c>
      <c r="AO42" s="167">
        <f t="shared" si="483"/>
        <v>1058802.3931659262</v>
      </c>
      <c r="AP42" s="167">
        <f t="shared" si="483"/>
        <v>1138212.5726533707</v>
      </c>
      <c r="AQ42" s="167">
        <f t="shared" si="483"/>
        <v>1223578.5156023735</v>
      </c>
      <c r="AR42" s="167">
        <f t="shared" si="483"/>
        <v>1315346.9042725514</v>
      </c>
      <c r="AS42" s="167">
        <f t="shared" si="483"/>
        <v>1413997.9220929928</v>
      </c>
      <c r="AT42" s="167">
        <f t="shared" si="483"/>
        <v>1520047.766249967</v>
      </c>
      <c r="AU42" s="167">
        <f t="shared" si="483"/>
        <v>1634051.3487187147</v>
      </c>
      <c r="AV42" s="167">
        <f t="shared" si="483"/>
        <v>1756605.1998726181</v>
      </c>
      <c r="AW42" s="167">
        <f t="shared" si="483"/>
        <v>1888350.5898630645</v>
      </c>
      <c r="AX42" s="167">
        <f t="shared" si="483"/>
        <v>2029976.8841027943</v>
      </c>
      <c r="AY42" s="167">
        <f t="shared" si="483"/>
        <v>2182225.1504105036</v>
      </c>
      <c r="AZ42" s="167">
        <f t="shared" si="483"/>
        <v>2345892.0366912917</v>
      </c>
      <c r="BA42" s="167">
        <f t="shared" si="483"/>
        <v>2521833.9394431384</v>
      </c>
      <c r="BB42" s="167">
        <f t="shared" si="483"/>
        <v>2710971.4849013737</v>
      </c>
      <c r="BC42" s="167">
        <f t="shared" si="483"/>
        <v>2914294.3462689766</v>
      </c>
      <c r="BD42" s="167">
        <f t="shared" si="483"/>
        <v>3132866.4222391499</v>
      </c>
      <c r="BE42" s="167">
        <f t="shared" si="483"/>
        <v>3367831.4039070862</v>
      </c>
      <c r="BF42" s="167">
        <f t="shared" si="483"/>
        <v>3620418.7592001176</v>
      </c>
      <c r="BG42" s="167">
        <f t="shared" si="483"/>
        <v>3891950.1661401261</v>
      </c>
      <c r="BH42" s="167">
        <f t="shared" si="483"/>
        <v>4183846.4286006354</v>
      </c>
      <c r="BI42" s="167">
        <f t="shared" si="483"/>
        <v>4497634.9107456831</v>
      </c>
      <c r="BJ42" s="167">
        <f t="shared" si="483"/>
        <v>4834957.5290516084</v>
      </c>
      <c r="BK42" s="167">
        <f t="shared" si="483"/>
        <v>5197579.3437304785</v>
      </c>
      <c r="BL42" s="167">
        <f t="shared" si="483"/>
        <v>5587397.7945102639</v>
      </c>
      <c r="BM42" s="167">
        <f t="shared" si="483"/>
        <v>6006452.6290985337</v>
      </c>
      <c r="BN42" s="167">
        <f t="shared" si="483"/>
        <v>6456936.5762809236</v>
      </c>
      <c r="BO42" s="167">
        <f t="shared" si="483"/>
        <v>6941206.8195019923</v>
      </c>
      <c r="BP42" s="167">
        <f t="shared" si="483"/>
        <v>7461797.3309646416</v>
      </c>
      <c r="BQ42" s="167">
        <f t="shared" si="483"/>
        <v>8021432.1307869889</v>
      </c>
    </row>
    <row r="43" spans="1:69">
      <c r="I43" s="63"/>
      <c r="J43" s="8"/>
      <c r="K43" s="91"/>
    </row>
    <row r="44" spans="1:69">
      <c r="I44" s="63" t="s">
        <v>297</v>
      </c>
      <c r="J44" s="529">
        <f>J40*0.1</f>
        <v>0.75</v>
      </c>
      <c r="K44" s="166">
        <f>J44</f>
        <v>0.75</v>
      </c>
      <c r="L44" s="166">
        <f t="shared" ref="L44" si="484">K44</f>
        <v>0.75</v>
      </c>
      <c r="M44" s="166">
        <f t="shared" ref="M44" si="485">L44</f>
        <v>0.75</v>
      </c>
      <c r="N44" s="166">
        <f t="shared" ref="N44" si="486">M44</f>
        <v>0.75</v>
      </c>
      <c r="O44" s="166">
        <f t="shared" ref="O44" si="487">N44</f>
        <v>0.75</v>
      </c>
      <c r="P44" s="166">
        <f t="shared" ref="P44" si="488">O44</f>
        <v>0.75</v>
      </c>
      <c r="Q44" s="166">
        <f t="shared" ref="Q44" si="489">P44</f>
        <v>0.75</v>
      </c>
      <c r="R44" s="166">
        <f t="shared" ref="R44" si="490">Q44</f>
        <v>0.75</v>
      </c>
      <c r="S44" s="166">
        <f t="shared" ref="S44" si="491">R44</f>
        <v>0.75</v>
      </c>
      <c r="T44" s="166">
        <f t="shared" ref="T44" si="492">S44</f>
        <v>0.75</v>
      </c>
      <c r="U44" s="166">
        <f t="shared" ref="U44" si="493">T44</f>
        <v>0.75</v>
      </c>
      <c r="V44" s="166">
        <f t="shared" ref="V44" si="494">U44</f>
        <v>0.75</v>
      </c>
      <c r="W44" s="166">
        <f t="shared" ref="W44" si="495">V44</f>
        <v>0.75</v>
      </c>
      <c r="X44" s="166">
        <f t="shared" ref="X44" si="496">W44</f>
        <v>0.75</v>
      </c>
      <c r="Y44" s="166">
        <f t="shared" ref="Y44" si="497">X44</f>
        <v>0.75</v>
      </c>
      <c r="Z44" s="166">
        <f t="shared" ref="Z44" si="498">Y44</f>
        <v>0.75</v>
      </c>
      <c r="AA44" s="166">
        <f t="shared" ref="AA44" si="499">Z44</f>
        <v>0.75</v>
      </c>
      <c r="AB44" s="166">
        <f t="shared" ref="AB44" si="500">AA44</f>
        <v>0.75</v>
      </c>
      <c r="AC44" s="166">
        <f t="shared" ref="AC44" si="501">AB44</f>
        <v>0.75</v>
      </c>
      <c r="AD44" s="166">
        <f t="shared" ref="AD44" si="502">AC44</f>
        <v>0.75</v>
      </c>
      <c r="AE44" s="166">
        <f t="shared" ref="AE44" si="503">AD44</f>
        <v>0.75</v>
      </c>
      <c r="AF44" s="166">
        <f t="shared" ref="AF44" si="504">AE44</f>
        <v>0.75</v>
      </c>
      <c r="AG44" s="166">
        <f t="shared" ref="AG44" si="505">AF44</f>
        <v>0.75</v>
      </c>
      <c r="AH44" s="166">
        <f t="shared" ref="AH44" si="506">AG44</f>
        <v>0.75</v>
      </c>
      <c r="AI44" s="166">
        <f t="shared" ref="AI44" si="507">AH44</f>
        <v>0.75</v>
      </c>
      <c r="AJ44" s="166">
        <f t="shared" ref="AJ44" si="508">AI44</f>
        <v>0.75</v>
      </c>
      <c r="AK44" s="166">
        <f t="shared" ref="AK44" si="509">AJ44</f>
        <v>0.75</v>
      </c>
      <c r="AL44" s="166">
        <f t="shared" ref="AL44" si="510">AK44</f>
        <v>0.75</v>
      </c>
      <c r="AM44" s="166">
        <f t="shared" ref="AM44" si="511">AL44</f>
        <v>0.75</v>
      </c>
      <c r="AN44" s="166">
        <f t="shared" ref="AN44" si="512">AM44</f>
        <v>0.75</v>
      </c>
      <c r="AO44" s="166">
        <f t="shared" ref="AO44" si="513">AN44</f>
        <v>0.75</v>
      </c>
      <c r="AP44" s="166">
        <f t="shared" ref="AP44" si="514">AO44</f>
        <v>0.75</v>
      </c>
      <c r="AQ44" s="166">
        <f t="shared" ref="AQ44" si="515">AP44</f>
        <v>0.75</v>
      </c>
      <c r="AR44" s="166">
        <f t="shared" ref="AR44" si="516">AQ44</f>
        <v>0.75</v>
      </c>
      <c r="AS44" s="166">
        <f t="shared" ref="AS44" si="517">AR44</f>
        <v>0.75</v>
      </c>
      <c r="AT44" s="166">
        <f t="shared" ref="AT44" si="518">AS44</f>
        <v>0.75</v>
      </c>
      <c r="AU44" s="166">
        <f t="shared" ref="AU44" si="519">AT44</f>
        <v>0.75</v>
      </c>
      <c r="AV44" s="166">
        <f t="shared" ref="AV44" si="520">AU44</f>
        <v>0.75</v>
      </c>
      <c r="AW44" s="166">
        <f t="shared" ref="AW44" si="521">AV44</f>
        <v>0.75</v>
      </c>
      <c r="AX44" s="166">
        <f t="shared" ref="AX44" si="522">AW44</f>
        <v>0.75</v>
      </c>
      <c r="AY44" s="166">
        <f t="shared" ref="AY44" si="523">AX44</f>
        <v>0.75</v>
      </c>
      <c r="AZ44" s="166">
        <f t="shared" ref="AZ44" si="524">AY44</f>
        <v>0.75</v>
      </c>
      <c r="BA44" s="166">
        <f t="shared" ref="BA44" si="525">AZ44</f>
        <v>0.75</v>
      </c>
      <c r="BB44" s="166">
        <f t="shared" ref="BB44" si="526">BA44</f>
        <v>0.75</v>
      </c>
      <c r="BC44" s="166">
        <f t="shared" ref="BC44" si="527">BB44</f>
        <v>0.75</v>
      </c>
      <c r="BD44" s="166">
        <f t="shared" ref="BD44" si="528">BC44</f>
        <v>0.75</v>
      </c>
      <c r="BE44" s="166">
        <f t="shared" ref="BE44" si="529">BD44</f>
        <v>0.75</v>
      </c>
      <c r="BF44" s="166">
        <f t="shared" ref="BF44" si="530">BE44</f>
        <v>0.75</v>
      </c>
      <c r="BG44" s="166">
        <f t="shared" ref="BG44" si="531">BF44</f>
        <v>0.75</v>
      </c>
      <c r="BH44" s="166">
        <f t="shared" ref="BH44" si="532">BG44</f>
        <v>0.75</v>
      </c>
      <c r="BI44" s="166">
        <f t="shared" ref="BI44" si="533">BH44</f>
        <v>0.75</v>
      </c>
      <c r="BJ44" s="166">
        <f t="shared" ref="BJ44" si="534">BI44</f>
        <v>0.75</v>
      </c>
      <c r="BK44" s="166">
        <f t="shared" ref="BK44" si="535">BJ44</f>
        <v>0.75</v>
      </c>
      <c r="BL44" s="166">
        <f t="shared" ref="BL44" si="536">BK44</f>
        <v>0.75</v>
      </c>
      <c r="BM44" s="166">
        <f t="shared" ref="BM44" si="537">BL44</f>
        <v>0.75</v>
      </c>
      <c r="BN44" s="166">
        <f t="shared" ref="BN44" si="538">BM44</f>
        <v>0.75</v>
      </c>
      <c r="BO44" s="166">
        <f t="shared" ref="BO44" si="539">BN44</f>
        <v>0.75</v>
      </c>
      <c r="BP44" s="166">
        <f t="shared" ref="BP44" si="540">BO44</f>
        <v>0.75</v>
      </c>
      <c r="BQ44" s="166">
        <f t="shared" ref="BQ44" si="541">BP44</f>
        <v>0.75</v>
      </c>
    </row>
    <row r="45" spans="1:69">
      <c r="I45" s="517" t="str">
        <f>I38</f>
        <v>Digital Transactions</v>
      </c>
      <c r="J45" s="61">
        <f t="shared" ref="J45:BQ45" si="542">J38</f>
        <v>15000</v>
      </c>
      <c r="K45" s="61">
        <f t="shared" si="542"/>
        <v>16125</v>
      </c>
      <c r="L45" s="61">
        <f t="shared" si="542"/>
        <v>17334.375</v>
      </c>
      <c r="M45" s="61">
        <f t="shared" si="542"/>
        <v>18634.453125</v>
      </c>
      <c r="N45" s="61">
        <f t="shared" si="542"/>
        <v>20032.037109375</v>
      </c>
      <c r="O45" s="61">
        <f t="shared" si="542"/>
        <v>21534.439892578124</v>
      </c>
      <c r="P45" s="61">
        <f t="shared" si="542"/>
        <v>23149.522884521484</v>
      </c>
      <c r="Q45" s="61">
        <f t="shared" si="542"/>
        <v>24885.737100860595</v>
      </c>
      <c r="R45" s="61">
        <f t="shared" si="542"/>
        <v>26752.167383425138</v>
      </c>
      <c r="S45" s="61">
        <f t="shared" si="542"/>
        <v>28758.579937182021</v>
      </c>
      <c r="T45" s="61">
        <f t="shared" si="542"/>
        <v>30915.473432470673</v>
      </c>
      <c r="U45" s="61">
        <f t="shared" si="542"/>
        <v>33234.133939905973</v>
      </c>
      <c r="V45" s="61">
        <f t="shared" si="542"/>
        <v>35726.693985398917</v>
      </c>
      <c r="W45" s="61">
        <f t="shared" si="542"/>
        <v>38406.196034303837</v>
      </c>
      <c r="X45" s="61">
        <f t="shared" si="542"/>
        <v>41286.66073687662</v>
      </c>
      <c r="Y45" s="61">
        <f t="shared" si="542"/>
        <v>44383.160292142362</v>
      </c>
      <c r="Z45" s="61">
        <f t="shared" si="542"/>
        <v>47711.897314053036</v>
      </c>
      <c r="AA45" s="61">
        <f t="shared" si="542"/>
        <v>51290.289612607012</v>
      </c>
      <c r="AB45" s="61">
        <f t="shared" si="542"/>
        <v>55137.061333552534</v>
      </c>
      <c r="AC45" s="61">
        <f t="shared" si="542"/>
        <v>59272.340933568972</v>
      </c>
      <c r="AD45" s="61">
        <f t="shared" si="542"/>
        <v>63717.766503586645</v>
      </c>
      <c r="AE45" s="61">
        <f t="shared" si="542"/>
        <v>68496.59899135564</v>
      </c>
      <c r="AF45" s="61">
        <f t="shared" si="542"/>
        <v>73633.843915707315</v>
      </c>
      <c r="AG45" s="61">
        <f t="shared" si="542"/>
        <v>79156.382209385367</v>
      </c>
      <c r="AH45" s="61">
        <f t="shared" si="542"/>
        <v>85093.11087508926</v>
      </c>
      <c r="AI45" s="61">
        <f t="shared" si="542"/>
        <v>91475.094190720949</v>
      </c>
      <c r="AJ45" s="61">
        <f t="shared" si="542"/>
        <v>98335.726255025016</v>
      </c>
      <c r="AK45" s="61">
        <f t="shared" si="542"/>
        <v>105710.90572415189</v>
      </c>
      <c r="AL45" s="61">
        <f t="shared" si="542"/>
        <v>113639.22365346328</v>
      </c>
      <c r="AM45" s="61">
        <f t="shared" si="542"/>
        <v>122162.16542747302</v>
      </c>
      <c r="AN45" s="61">
        <f t="shared" si="542"/>
        <v>131324.3278345335</v>
      </c>
      <c r="AO45" s="61">
        <f t="shared" si="542"/>
        <v>141173.6524221235</v>
      </c>
      <c r="AP45" s="61">
        <f t="shared" si="542"/>
        <v>151761.67635378276</v>
      </c>
      <c r="AQ45" s="61">
        <f t="shared" si="542"/>
        <v>163143.80208031647</v>
      </c>
      <c r="AR45" s="61">
        <f t="shared" si="542"/>
        <v>175379.58723634019</v>
      </c>
      <c r="AS45" s="61">
        <f t="shared" si="542"/>
        <v>188533.0562790657</v>
      </c>
      <c r="AT45" s="61">
        <f t="shared" si="542"/>
        <v>202673.0354999956</v>
      </c>
      <c r="AU45" s="61">
        <f t="shared" si="542"/>
        <v>217873.51316249528</v>
      </c>
      <c r="AV45" s="61">
        <f t="shared" si="542"/>
        <v>234214.0266496824</v>
      </c>
      <c r="AW45" s="61">
        <f t="shared" si="542"/>
        <v>251780.07864840858</v>
      </c>
      <c r="AX45" s="61">
        <f t="shared" si="542"/>
        <v>270663.58454703924</v>
      </c>
      <c r="AY45" s="61">
        <f t="shared" si="542"/>
        <v>290963.35338806716</v>
      </c>
      <c r="AZ45" s="61">
        <f t="shared" si="542"/>
        <v>312785.60489217221</v>
      </c>
      <c r="BA45" s="61">
        <f t="shared" si="542"/>
        <v>336244.52525908512</v>
      </c>
      <c r="BB45" s="61">
        <f t="shared" si="542"/>
        <v>361462.8646535165</v>
      </c>
      <c r="BC45" s="61">
        <f t="shared" si="542"/>
        <v>388572.57950253022</v>
      </c>
      <c r="BD45" s="61">
        <f t="shared" si="542"/>
        <v>417715.52296521998</v>
      </c>
      <c r="BE45" s="61">
        <f t="shared" si="542"/>
        <v>449044.18718761147</v>
      </c>
      <c r="BF45" s="61">
        <f t="shared" si="542"/>
        <v>482722.50122668233</v>
      </c>
      <c r="BG45" s="61">
        <f t="shared" si="542"/>
        <v>518926.6888186835</v>
      </c>
      <c r="BH45" s="61">
        <f t="shared" si="542"/>
        <v>557846.19048008474</v>
      </c>
      <c r="BI45" s="61">
        <f t="shared" si="542"/>
        <v>599684.65476609103</v>
      </c>
      <c r="BJ45" s="61">
        <f t="shared" si="542"/>
        <v>644661.00387354777</v>
      </c>
      <c r="BK45" s="61">
        <f t="shared" si="542"/>
        <v>693010.57916406379</v>
      </c>
      <c r="BL45" s="61">
        <f t="shared" si="542"/>
        <v>744986.37260136858</v>
      </c>
      <c r="BM45" s="61">
        <f t="shared" si="542"/>
        <v>800860.35054647119</v>
      </c>
      <c r="BN45" s="61">
        <f t="shared" si="542"/>
        <v>860924.87683745648</v>
      </c>
      <c r="BO45" s="61">
        <f t="shared" si="542"/>
        <v>925494.24260026566</v>
      </c>
      <c r="BP45" s="61">
        <f t="shared" si="542"/>
        <v>994906.31079528551</v>
      </c>
      <c r="BQ45" s="61">
        <f t="shared" si="542"/>
        <v>1069524.2841049319</v>
      </c>
    </row>
    <row r="46" spans="1:69">
      <c r="I46" s="269" t="s">
        <v>295</v>
      </c>
      <c r="J46" s="167">
        <f>J44*J45</f>
        <v>11250</v>
      </c>
      <c r="K46" s="167">
        <f t="shared" ref="K46:BQ46" si="543">K44*K45</f>
        <v>12093.75</v>
      </c>
      <c r="L46" s="167">
        <f t="shared" si="543"/>
        <v>13000.78125</v>
      </c>
      <c r="M46" s="167">
        <f t="shared" si="543"/>
        <v>13975.83984375</v>
      </c>
      <c r="N46" s="167">
        <f t="shared" si="543"/>
        <v>15024.02783203125</v>
      </c>
      <c r="O46" s="167">
        <f t="shared" si="543"/>
        <v>16150.829919433592</v>
      </c>
      <c r="P46" s="167">
        <f t="shared" si="543"/>
        <v>17362.142163391112</v>
      </c>
      <c r="Q46" s="167">
        <f t="shared" si="543"/>
        <v>18664.302825645445</v>
      </c>
      <c r="R46" s="167">
        <f t="shared" si="543"/>
        <v>20064.125537568852</v>
      </c>
      <c r="S46" s="167">
        <f t="shared" si="543"/>
        <v>21568.934952886517</v>
      </c>
      <c r="T46" s="167">
        <f t="shared" si="543"/>
        <v>23186.605074353007</v>
      </c>
      <c r="U46" s="167">
        <f t="shared" si="543"/>
        <v>24925.600454929481</v>
      </c>
      <c r="V46" s="167">
        <f t="shared" si="543"/>
        <v>26795.020489049188</v>
      </c>
      <c r="W46" s="167">
        <f t="shared" si="543"/>
        <v>28804.647025727878</v>
      </c>
      <c r="X46" s="167">
        <f t="shared" si="543"/>
        <v>30964.995552657463</v>
      </c>
      <c r="Y46" s="167">
        <f t="shared" si="543"/>
        <v>33287.370219106771</v>
      </c>
      <c r="Z46" s="167">
        <f t="shared" si="543"/>
        <v>35783.922985539779</v>
      </c>
      <c r="AA46" s="167">
        <f t="shared" si="543"/>
        <v>38467.717209455259</v>
      </c>
      <c r="AB46" s="167">
        <f t="shared" si="543"/>
        <v>41352.796000164402</v>
      </c>
      <c r="AC46" s="167">
        <f t="shared" si="543"/>
        <v>44454.255700176727</v>
      </c>
      <c r="AD46" s="167">
        <f t="shared" si="543"/>
        <v>47788.324877689985</v>
      </c>
      <c r="AE46" s="167">
        <f t="shared" si="543"/>
        <v>51372.449243516734</v>
      </c>
      <c r="AF46" s="167">
        <f t="shared" si="543"/>
        <v>55225.382936780486</v>
      </c>
      <c r="AG46" s="167">
        <f t="shared" si="543"/>
        <v>59367.286657039025</v>
      </c>
      <c r="AH46" s="167">
        <f t="shared" si="543"/>
        <v>63819.833156316949</v>
      </c>
      <c r="AI46" s="167">
        <f t="shared" si="543"/>
        <v>68606.320643040715</v>
      </c>
      <c r="AJ46" s="167">
        <f t="shared" si="543"/>
        <v>73751.794691268762</v>
      </c>
      <c r="AK46" s="167">
        <f t="shared" si="543"/>
        <v>79283.179293113921</v>
      </c>
      <c r="AL46" s="167">
        <f t="shared" si="543"/>
        <v>85229.417740097459</v>
      </c>
      <c r="AM46" s="167">
        <f t="shared" si="543"/>
        <v>91621.624070604768</v>
      </c>
      <c r="AN46" s="167">
        <f t="shared" si="543"/>
        <v>98493.245875900117</v>
      </c>
      <c r="AO46" s="167">
        <f t="shared" si="543"/>
        <v>105880.23931659263</v>
      </c>
      <c r="AP46" s="167">
        <f t="shared" si="543"/>
        <v>113821.25726533707</v>
      </c>
      <c r="AQ46" s="167">
        <f t="shared" si="543"/>
        <v>122357.85156023735</v>
      </c>
      <c r="AR46" s="167">
        <f t="shared" si="543"/>
        <v>131534.69042725515</v>
      </c>
      <c r="AS46" s="167">
        <f t="shared" si="543"/>
        <v>141399.79220929928</v>
      </c>
      <c r="AT46" s="167">
        <f t="shared" si="543"/>
        <v>152004.77662499671</v>
      </c>
      <c r="AU46" s="167">
        <f t="shared" si="543"/>
        <v>163405.13487187144</v>
      </c>
      <c r="AV46" s="167">
        <f t="shared" si="543"/>
        <v>175660.5199872618</v>
      </c>
      <c r="AW46" s="167">
        <f t="shared" si="543"/>
        <v>188835.05898630642</v>
      </c>
      <c r="AX46" s="167">
        <f t="shared" si="543"/>
        <v>202997.68841027943</v>
      </c>
      <c r="AY46" s="167">
        <f t="shared" si="543"/>
        <v>218222.51504105038</v>
      </c>
      <c r="AZ46" s="167">
        <f t="shared" si="543"/>
        <v>234589.20366912917</v>
      </c>
      <c r="BA46" s="167">
        <f t="shared" si="543"/>
        <v>252183.39394431384</v>
      </c>
      <c r="BB46" s="167">
        <f t="shared" si="543"/>
        <v>271097.14849013736</v>
      </c>
      <c r="BC46" s="167">
        <f t="shared" si="543"/>
        <v>291429.43462689768</v>
      </c>
      <c r="BD46" s="167">
        <f t="shared" si="543"/>
        <v>313286.64222391497</v>
      </c>
      <c r="BE46" s="167">
        <f t="shared" si="543"/>
        <v>336783.14039070858</v>
      </c>
      <c r="BF46" s="167">
        <f t="shared" si="543"/>
        <v>362041.87592001178</v>
      </c>
      <c r="BG46" s="167">
        <f t="shared" si="543"/>
        <v>389195.01661401265</v>
      </c>
      <c r="BH46" s="167">
        <f t="shared" si="543"/>
        <v>418384.64286006358</v>
      </c>
      <c r="BI46" s="167">
        <f t="shared" si="543"/>
        <v>449763.49107456824</v>
      </c>
      <c r="BJ46" s="167">
        <f t="shared" si="543"/>
        <v>483495.75290516083</v>
      </c>
      <c r="BK46" s="167">
        <f t="shared" si="543"/>
        <v>519757.93437304784</v>
      </c>
      <c r="BL46" s="167">
        <f t="shared" si="543"/>
        <v>558739.77945102646</v>
      </c>
      <c r="BM46" s="167">
        <f t="shared" si="543"/>
        <v>600645.26290985337</v>
      </c>
      <c r="BN46" s="167">
        <f t="shared" si="543"/>
        <v>645693.65762809233</v>
      </c>
      <c r="BO46" s="167">
        <f t="shared" si="543"/>
        <v>694120.68195019918</v>
      </c>
      <c r="BP46" s="167">
        <f t="shared" si="543"/>
        <v>746179.73309646407</v>
      </c>
      <c r="BQ46" s="167">
        <f t="shared" si="543"/>
        <v>802143.21307869884</v>
      </c>
    </row>
    <row r="48" spans="1:69" s="12" customFormat="1"/>
    <row r="49" spans="1:69">
      <c r="A49" s="128" t="s">
        <v>304</v>
      </c>
      <c r="B49" s="21"/>
      <c r="C49" s="21"/>
      <c r="D49" s="21"/>
      <c r="E49" s="21"/>
      <c r="F49" s="21"/>
      <c r="G49" s="21"/>
    </row>
    <row r="50" spans="1:69">
      <c r="B50" s="66"/>
      <c r="C50" s="381">
        <f>J50</f>
        <v>45261</v>
      </c>
      <c r="D50" s="381">
        <f>EDATE(C50,12)</f>
        <v>45627</v>
      </c>
      <c r="E50" s="381">
        <f t="shared" ref="E50" si="544">EDATE(D50,12)</f>
        <v>45992</v>
      </c>
      <c r="F50" s="381">
        <f t="shared" ref="F50" si="545">EDATE(E50,12)</f>
        <v>46357</v>
      </c>
      <c r="G50" s="381">
        <f t="shared" ref="G50" si="546">EDATE(F50,12)</f>
        <v>46722</v>
      </c>
      <c r="I50" s="133"/>
      <c r="J50" s="535">
        <f>'2) Assumptions'!$D$2</f>
        <v>45261</v>
      </c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>
        <f>'2) Assumptions'!$E$2</f>
        <v>45627</v>
      </c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>
        <f>'2) Assumptions'!$F$2</f>
        <v>45992</v>
      </c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  <c r="AS50" s="535"/>
      <c r="AT50" s="535">
        <f>'2) Assumptions'!G$2</f>
        <v>46357</v>
      </c>
      <c r="AU50" s="535"/>
      <c r="AV50" s="535"/>
      <c r="AW50" s="535"/>
      <c r="AX50" s="535"/>
      <c r="AY50" s="535"/>
      <c r="AZ50" s="535"/>
      <c r="BA50" s="535"/>
      <c r="BB50" s="535"/>
      <c r="BC50" s="535"/>
      <c r="BD50" s="535"/>
      <c r="BE50" s="535"/>
      <c r="BF50" s="535">
        <f>'2) Assumptions'!$H$2</f>
        <v>46722</v>
      </c>
      <c r="BG50" s="535"/>
      <c r="BH50" s="535"/>
      <c r="BI50" s="535"/>
      <c r="BJ50" s="535"/>
      <c r="BK50" s="535"/>
      <c r="BL50" s="535"/>
      <c r="BM50" s="535"/>
      <c r="BN50" s="535"/>
      <c r="BO50" s="535"/>
      <c r="BP50" s="535"/>
      <c r="BQ50" s="535"/>
    </row>
    <row r="51" spans="1:69">
      <c r="B51" s="63" t="s">
        <v>29</v>
      </c>
      <c r="C51" s="61">
        <f>SUM(J57:U57)</f>
        <v>1381779.599026595</v>
      </c>
      <c r="D51" s="61">
        <f>SUM(V57:AG57)</f>
        <v>3291094.4593126918</v>
      </c>
      <c r="E51" s="61">
        <f>SUM(AH57:AS57)</f>
        <v>7838661.6416604267</v>
      </c>
      <c r="F51" s="61">
        <f>SUM(AT57:BE57)</f>
        <v>18669964.381779116</v>
      </c>
      <c r="G51" s="61">
        <f>SUM(BF57:BQ57)</f>
        <v>44467740.279074654</v>
      </c>
      <c r="I51" s="134"/>
      <c r="J51" s="135">
        <f>EDATE('2) Assumptions'!$D$5,0)</f>
        <v>44927</v>
      </c>
      <c r="K51" s="135">
        <f>EDATE('2) Assumptions'!$D$5,1)</f>
        <v>44958</v>
      </c>
      <c r="L51" s="135">
        <f>EDATE('2) Assumptions'!$D$5,2)</f>
        <v>44986</v>
      </c>
      <c r="M51" s="135">
        <f>EDATE('2) Assumptions'!$D$5,3)</f>
        <v>45017</v>
      </c>
      <c r="N51" s="135">
        <f>EDATE('2) Assumptions'!$D$5,4)</f>
        <v>45047</v>
      </c>
      <c r="O51" s="135">
        <f>EDATE('2) Assumptions'!$D$5,5)</f>
        <v>45078</v>
      </c>
      <c r="P51" s="135">
        <f>EDATE('2) Assumptions'!$D$5,6)</f>
        <v>45108</v>
      </c>
      <c r="Q51" s="135">
        <f>EDATE('2) Assumptions'!$D$5,7)</f>
        <v>45139</v>
      </c>
      <c r="R51" s="135">
        <f>EDATE('2) Assumptions'!$D$5,8)</f>
        <v>45170</v>
      </c>
      <c r="S51" s="135">
        <f>EDATE('2) Assumptions'!$D$5,9)</f>
        <v>45200</v>
      </c>
      <c r="T51" s="135">
        <f>EDATE('2) Assumptions'!$D$5,10)</f>
        <v>45231</v>
      </c>
      <c r="U51" s="135">
        <f>EDATE('2) Assumptions'!$D$5,11)</f>
        <v>45261</v>
      </c>
      <c r="V51" s="135">
        <f>EDATE('2) Assumptions'!$D$5,0)</f>
        <v>44927</v>
      </c>
      <c r="W51" s="135">
        <f>EDATE('2) Assumptions'!$D$5,1)</f>
        <v>44958</v>
      </c>
      <c r="X51" s="135">
        <f>EDATE('2) Assumptions'!$D$5,2)</f>
        <v>44986</v>
      </c>
      <c r="Y51" s="135">
        <f>EDATE('2) Assumptions'!$D$5,3)</f>
        <v>45017</v>
      </c>
      <c r="Z51" s="135">
        <f>EDATE('2) Assumptions'!$D$5,4)</f>
        <v>45047</v>
      </c>
      <c r="AA51" s="135">
        <f>EDATE('2) Assumptions'!$D$5,5)</f>
        <v>45078</v>
      </c>
      <c r="AB51" s="135">
        <f>EDATE('2) Assumptions'!$D$5,6)</f>
        <v>45108</v>
      </c>
      <c r="AC51" s="135">
        <f>EDATE('2) Assumptions'!$D$5,7)</f>
        <v>45139</v>
      </c>
      <c r="AD51" s="135">
        <f>EDATE('2) Assumptions'!$D$5,8)</f>
        <v>45170</v>
      </c>
      <c r="AE51" s="135">
        <f>EDATE('2) Assumptions'!$D$5,9)</f>
        <v>45200</v>
      </c>
      <c r="AF51" s="135">
        <f>EDATE('2) Assumptions'!$D$5,10)</f>
        <v>45231</v>
      </c>
      <c r="AG51" s="135">
        <f>EDATE('2) Assumptions'!$D$5,11)</f>
        <v>45261</v>
      </c>
      <c r="AH51" s="135">
        <f>EDATE('2) Assumptions'!$D$5,0)</f>
        <v>44927</v>
      </c>
      <c r="AI51" s="135">
        <f>EDATE('2) Assumptions'!$D$5,1)</f>
        <v>44958</v>
      </c>
      <c r="AJ51" s="135">
        <f>EDATE('2) Assumptions'!$D$5,2)</f>
        <v>44986</v>
      </c>
      <c r="AK51" s="135">
        <f>EDATE('2) Assumptions'!$D$5,3)</f>
        <v>45017</v>
      </c>
      <c r="AL51" s="135">
        <f>EDATE('2) Assumptions'!$D$5,4)</f>
        <v>45047</v>
      </c>
      <c r="AM51" s="135">
        <f>EDATE('2) Assumptions'!$D$5,5)</f>
        <v>45078</v>
      </c>
      <c r="AN51" s="135">
        <f>EDATE('2) Assumptions'!$D$5,6)</f>
        <v>45108</v>
      </c>
      <c r="AO51" s="135">
        <f>EDATE('2) Assumptions'!$D$5,7)</f>
        <v>45139</v>
      </c>
      <c r="AP51" s="135">
        <f>EDATE('2) Assumptions'!$D$5,8)</f>
        <v>45170</v>
      </c>
      <c r="AQ51" s="135">
        <f>EDATE('2) Assumptions'!$D$5,9)</f>
        <v>45200</v>
      </c>
      <c r="AR51" s="135">
        <f>EDATE('2) Assumptions'!$D$5,10)</f>
        <v>45231</v>
      </c>
      <c r="AS51" s="135">
        <f>EDATE('2) Assumptions'!$D$5,11)</f>
        <v>45261</v>
      </c>
      <c r="AT51" s="135">
        <f>EDATE('2) Assumptions'!$D$5,0)</f>
        <v>44927</v>
      </c>
      <c r="AU51" s="135">
        <f>EDATE('2) Assumptions'!$D$5,1)</f>
        <v>44958</v>
      </c>
      <c r="AV51" s="135">
        <f>EDATE('2) Assumptions'!$D$5,2)</f>
        <v>44986</v>
      </c>
      <c r="AW51" s="135">
        <f>EDATE('2) Assumptions'!$D$5,3)</f>
        <v>45017</v>
      </c>
      <c r="AX51" s="135">
        <f>EDATE('2) Assumptions'!$D$5,4)</f>
        <v>45047</v>
      </c>
      <c r="AY51" s="135">
        <f>EDATE('2) Assumptions'!$D$5,5)</f>
        <v>45078</v>
      </c>
      <c r="AZ51" s="135">
        <f>EDATE('2) Assumptions'!$D$5,6)</f>
        <v>45108</v>
      </c>
      <c r="BA51" s="135">
        <f>EDATE('2) Assumptions'!$D$5,7)</f>
        <v>45139</v>
      </c>
      <c r="BB51" s="135">
        <f>EDATE('2) Assumptions'!$D$5,8)</f>
        <v>45170</v>
      </c>
      <c r="BC51" s="135">
        <f>EDATE('2) Assumptions'!$D$5,9)</f>
        <v>45200</v>
      </c>
      <c r="BD51" s="135">
        <f>EDATE('2) Assumptions'!$D$5,10)</f>
        <v>45231</v>
      </c>
      <c r="BE51" s="135">
        <f>EDATE('2) Assumptions'!$D$5,11)</f>
        <v>45261</v>
      </c>
      <c r="BF51" s="135">
        <f>EDATE('2) Assumptions'!$D$5,0)</f>
        <v>44927</v>
      </c>
      <c r="BG51" s="135">
        <f>EDATE('2) Assumptions'!$D$5,1)</f>
        <v>44958</v>
      </c>
      <c r="BH51" s="135">
        <f>EDATE('2) Assumptions'!$D$5,2)</f>
        <v>44986</v>
      </c>
      <c r="BI51" s="135">
        <f>EDATE('2) Assumptions'!$D$5,3)</f>
        <v>45017</v>
      </c>
      <c r="BJ51" s="135">
        <f>EDATE('2) Assumptions'!$D$5,4)</f>
        <v>45047</v>
      </c>
      <c r="BK51" s="135">
        <f>EDATE('2) Assumptions'!$D$5,5)</f>
        <v>45078</v>
      </c>
      <c r="BL51" s="135">
        <f>EDATE('2) Assumptions'!$D$5,6)</f>
        <v>45108</v>
      </c>
      <c r="BM51" s="135">
        <f>EDATE('2) Assumptions'!$D$5,7)</f>
        <v>45139</v>
      </c>
      <c r="BN51" s="135">
        <f>EDATE('2) Assumptions'!$D$5,8)</f>
        <v>45170</v>
      </c>
      <c r="BO51" s="135">
        <f>EDATE('2) Assumptions'!$D$5,9)</f>
        <v>45200</v>
      </c>
      <c r="BP51" s="135">
        <f>EDATE('2) Assumptions'!$D$5,10)</f>
        <v>45231</v>
      </c>
      <c r="BQ51" s="135">
        <f>EDATE('2) Assumptions'!$D$5,11)</f>
        <v>45261</v>
      </c>
    </row>
    <row r="52" spans="1:69">
      <c r="B52" s="63" t="s">
        <v>296</v>
      </c>
      <c r="C52" s="61">
        <f>SUM(J61:U61)</f>
        <v>138177.95990265952</v>
      </c>
      <c r="D52" s="61">
        <f>SUM(V61:AG61)</f>
        <v>329109.44593126921</v>
      </c>
      <c r="E52" s="61">
        <f>SUM(AH61:AS61)</f>
        <v>783866.16416604281</v>
      </c>
      <c r="F52" s="61">
        <f>SUM(AT61:BE61)</f>
        <v>1866996.4381779118</v>
      </c>
      <c r="G52" s="61">
        <f>SUM(BF61:BQ61)</f>
        <v>4446774.0279074656</v>
      </c>
      <c r="H52" s="18"/>
      <c r="I52" s="63" t="s">
        <v>137</v>
      </c>
      <c r="J52" s="270"/>
      <c r="K52" s="183">
        <v>7.4999999999999997E-2</v>
      </c>
      <c r="L52" s="183">
        <f>K52</f>
        <v>7.4999999999999997E-2</v>
      </c>
      <c r="M52" s="183">
        <f t="shared" ref="M52" si="547">L52</f>
        <v>7.4999999999999997E-2</v>
      </c>
      <c r="N52" s="183">
        <f t="shared" ref="N52" si="548">M52</f>
        <v>7.4999999999999997E-2</v>
      </c>
      <c r="O52" s="183">
        <f t="shared" ref="O52" si="549">N52</f>
        <v>7.4999999999999997E-2</v>
      </c>
      <c r="P52" s="183">
        <f t="shared" ref="P52" si="550">O52</f>
        <v>7.4999999999999997E-2</v>
      </c>
      <c r="Q52" s="183">
        <f t="shared" ref="Q52" si="551">P52</f>
        <v>7.4999999999999997E-2</v>
      </c>
      <c r="R52" s="183">
        <f t="shared" ref="R52" si="552">Q52</f>
        <v>7.4999999999999997E-2</v>
      </c>
      <c r="S52" s="183">
        <f t="shared" ref="S52" si="553">R52</f>
        <v>7.4999999999999997E-2</v>
      </c>
      <c r="T52" s="183">
        <f t="shared" ref="T52" si="554">S52</f>
        <v>7.4999999999999997E-2</v>
      </c>
      <c r="U52" s="183">
        <f t="shared" ref="U52" si="555">T52</f>
        <v>7.4999999999999997E-2</v>
      </c>
      <c r="V52" s="183">
        <f t="shared" ref="V52" si="556">U52</f>
        <v>7.4999999999999997E-2</v>
      </c>
      <c r="W52" s="183">
        <f t="shared" ref="W52" si="557">V52</f>
        <v>7.4999999999999997E-2</v>
      </c>
      <c r="X52" s="183">
        <f t="shared" ref="X52" si="558">W52</f>
        <v>7.4999999999999997E-2</v>
      </c>
      <c r="Y52" s="183">
        <f t="shared" ref="Y52" si="559">X52</f>
        <v>7.4999999999999997E-2</v>
      </c>
      <c r="Z52" s="183">
        <f t="shared" ref="Z52" si="560">Y52</f>
        <v>7.4999999999999997E-2</v>
      </c>
      <c r="AA52" s="183">
        <f t="shared" ref="AA52" si="561">Z52</f>
        <v>7.4999999999999997E-2</v>
      </c>
      <c r="AB52" s="183">
        <f t="shared" ref="AB52" si="562">AA52</f>
        <v>7.4999999999999997E-2</v>
      </c>
      <c r="AC52" s="183">
        <f t="shared" ref="AC52" si="563">AB52</f>
        <v>7.4999999999999997E-2</v>
      </c>
      <c r="AD52" s="183">
        <f t="shared" ref="AD52" si="564">AC52</f>
        <v>7.4999999999999997E-2</v>
      </c>
      <c r="AE52" s="183">
        <f t="shared" ref="AE52" si="565">AD52</f>
        <v>7.4999999999999997E-2</v>
      </c>
      <c r="AF52" s="183">
        <f t="shared" ref="AF52" si="566">AE52</f>
        <v>7.4999999999999997E-2</v>
      </c>
      <c r="AG52" s="183">
        <f t="shared" ref="AG52" si="567">AF52</f>
        <v>7.4999999999999997E-2</v>
      </c>
      <c r="AH52" s="183">
        <f t="shared" ref="AH52" si="568">AG52</f>
        <v>7.4999999999999997E-2</v>
      </c>
      <c r="AI52" s="183">
        <f t="shared" ref="AI52" si="569">AH52</f>
        <v>7.4999999999999997E-2</v>
      </c>
      <c r="AJ52" s="183">
        <f t="shared" ref="AJ52" si="570">AI52</f>
        <v>7.4999999999999997E-2</v>
      </c>
      <c r="AK52" s="183">
        <f t="shared" ref="AK52" si="571">AJ52</f>
        <v>7.4999999999999997E-2</v>
      </c>
      <c r="AL52" s="183">
        <f t="shared" ref="AL52" si="572">AK52</f>
        <v>7.4999999999999997E-2</v>
      </c>
      <c r="AM52" s="183">
        <f t="shared" ref="AM52" si="573">AL52</f>
        <v>7.4999999999999997E-2</v>
      </c>
      <c r="AN52" s="183">
        <f t="shared" ref="AN52" si="574">AM52</f>
        <v>7.4999999999999997E-2</v>
      </c>
      <c r="AO52" s="183">
        <f t="shared" ref="AO52" si="575">AN52</f>
        <v>7.4999999999999997E-2</v>
      </c>
      <c r="AP52" s="183">
        <f t="shared" ref="AP52" si="576">AO52</f>
        <v>7.4999999999999997E-2</v>
      </c>
      <c r="AQ52" s="183">
        <f t="shared" ref="AQ52" si="577">AP52</f>
        <v>7.4999999999999997E-2</v>
      </c>
      <c r="AR52" s="183">
        <f t="shared" ref="AR52" si="578">AQ52</f>
        <v>7.4999999999999997E-2</v>
      </c>
      <c r="AS52" s="183">
        <f t="shared" ref="AS52" si="579">AR52</f>
        <v>7.4999999999999997E-2</v>
      </c>
      <c r="AT52" s="183">
        <f t="shared" ref="AT52" si="580">AS52</f>
        <v>7.4999999999999997E-2</v>
      </c>
      <c r="AU52" s="183">
        <f t="shared" ref="AU52" si="581">AT52</f>
        <v>7.4999999999999997E-2</v>
      </c>
      <c r="AV52" s="183">
        <f t="shared" ref="AV52" si="582">AU52</f>
        <v>7.4999999999999997E-2</v>
      </c>
      <c r="AW52" s="183">
        <f t="shared" ref="AW52" si="583">AV52</f>
        <v>7.4999999999999997E-2</v>
      </c>
      <c r="AX52" s="183">
        <f t="shared" ref="AX52" si="584">AW52</f>
        <v>7.4999999999999997E-2</v>
      </c>
      <c r="AY52" s="183">
        <f t="shared" ref="AY52" si="585">AX52</f>
        <v>7.4999999999999997E-2</v>
      </c>
      <c r="AZ52" s="183">
        <f t="shared" ref="AZ52" si="586">AY52</f>
        <v>7.4999999999999997E-2</v>
      </c>
      <c r="BA52" s="183">
        <f t="shared" ref="BA52" si="587">AZ52</f>
        <v>7.4999999999999997E-2</v>
      </c>
      <c r="BB52" s="183">
        <f t="shared" ref="BB52" si="588">BA52</f>
        <v>7.4999999999999997E-2</v>
      </c>
      <c r="BC52" s="183">
        <f t="shared" ref="BC52" si="589">BB52</f>
        <v>7.4999999999999997E-2</v>
      </c>
      <c r="BD52" s="183">
        <f t="shared" ref="BD52" si="590">BC52</f>
        <v>7.4999999999999997E-2</v>
      </c>
      <c r="BE52" s="183">
        <f t="shared" ref="BE52" si="591">BD52</f>
        <v>7.4999999999999997E-2</v>
      </c>
      <c r="BF52" s="183">
        <f t="shared" ref="BF52" si="592">BE52</f>
        <v>7.4999999999999997E-2</v>
      </c>
      <c r="BG52" s="183">
        <f t="shared" ref="BG52" si="593">BF52</f>
        <v>7.4999999999999997E-2</v>
      </c>
      <c r="BH52" s="183">
        <f t="shared" ref="BH52" si="594">BG52</f>
        <v>7.4999999999999997E-2</v>
      </c>
      <c r="BI52" s="183">
        <f t="shared" ref="BI52" si="595">BH52</f>
        <v>7.4999999999999997E-2</v>
      </c>
      <c r="BJ52" s="183">
        <f t="shared" ref="BJ52" si="596">BI52</f>
        <v>7.4999999999999997E-2</v>
      </c>
      <c r="BK52" s="183">
        <f t="shared" ref="BK52" si="597">BJ52</f>
        <v>7.4999999999999997E-2</v>
      </c>
      <c r="BL52" s="183">
        <f t="shared" ref="BL52" si="598">BK52</f>
        <v>7.4999999999999997E-2</v>
      </c>
      <c r="BM52" s="183">
        <f t="shared" ref="BM52" si="599">BL52</f>
        <v>7.4999999999999997E-2</v>
      </c>
      <c r="BN52" s="183">
        <f t="shared" ref="BN52" si="600">BM52</f>
        <v>7.4999999999999997E-2</v>
      </c>
      <c r="BO52" s="183">
        <f t="shared" ref="BO52" si="601">BN52</f>
        <v>7.4999999999999997E-2</v>
      </c>
      <c r="BP52" s="183">
        <f t="shared" ref="BP52" si="602">BO52</f>
        <v>7.4999999999999997E-2</v>
      </c>
      <c r="BQ52" s="183">
        <f t="shared" ref="BQ52" si="603">BP52</f>
        <v>7.4999999999999997E-2</v>
      </c>
    </row>
    <row r="53" spans="1:69">
      <c r="E53" s="61"/>
      <c r="F53" s="61"/>
      <c r="G53" s="61"/>
      <c r="I53" s="109" t="s">
        <v>305</v>
      </c>
      <c r="J53" s="268">
        <v>50000</v>
      </c>
      <c r="K53" s="166">
        <f t="shared" ref="K53" si="604">J53*(1+K52)</f>
        <v>53750</v>
      </c>
      <c r="L53" s="166">
        <f t="shared" ref="L53" si="605">K53*(1+L52)</f>
        <v>57781.25</v>
      </c>
      <c r="M53" s="166">
        <f t="shared" ref="M53" si="606">L53*(1+M52)</f>
        <v>62114.84375</v>
      </c>
      <c r="N53" s="166">
        <f t="shared" ref="N53" si="607">M53*(1+N52)</f>
        <v>66773.45703125</v>
      </c>
      <c r="O53" s="166">
        <f t="shared" ref="O53" si="608">N53*(1+O52)</f>
        <v>71781.46630859375</v>
      </c>
      <c r="P53" s="166">
        <f t="shared" ref="P53" si="609">O53*(1+P52)</f>
        <v>77165.076281738278</v>
      </c>
      <c r="Q53" s="166">
        <f t="shared" ref="Q53" si="610">P53*(1+Q52)</f>
        <v>82952.457002868643</v>
      </c>
      <c r="R53" s="166">
        <f t="shared" ref="R53" si="611">Q53*(1+R52)</f>
        <v>89173.891278083785</v>
      </c>
      <c r="S53" s="166">
        <f t="shared" ref="S53" si="612">R53*(1+S52)</f>
        <v>95861.933123940064</v>
      </c>
      <c r="T53" s="166">
        <f t="shared" ref="T53" si="613">S53*(1+T52)</f>
        <v>103051.57810823557</v>
      </c>
      <c r="U53" s="166">
        <f t="shared" ref="U53" si="614">T53*(1+U52)</f>
        <v>110780.44646635323</v>
      </c>
      <c r="V53" s="166">
        <f t="shared" ref="V53" si="615">U53*(1+V52)</f>
        <v>119088.97995132972</v>
      </c>
      <c r="W53" s="166">
        <f t="shared" ref="W53" si="616">V53*(1+W52)</f>
        <v>128020.65344767945</v>
      </c>
      <c r="X53" s="166">
        <f t="shared" ref="X53" si="617">W53*(1+X52)</f>
        <v>137622.20245625541</v>
      </c>
      <c r="Y53" s="166">
        <f t="shared" ref="Y53" si="618">X53*(1+Y52)</f>
        <v>147943.86764047458</v>
      </c>
      <c r="Z53" s="166">
        <f t="shared" ref="Z53" si="619">Y53*(1+Z52)</f>
        <v>159039.65771351015</v>
      </c>
      <c r="AA53" s="166">
        <f t="shared" ref="AA53" si="620">Z53*(1+AA52)</f>
        <v>170967.63204202341</v>
      </c>
      <c r="AB53" s="166">
        <f t="shared" ref="AB53" si="621">AA53*(1+AB52)</f>
        <v>183790.20444517516</v>
      </c>
      <c r="AC53" s="166">
        <f t="shared" ref="AC53" si="622">AB53*(1+AC52)</f>
        <v>197574.46977856327</v>
      </c>
      <c r="AD53" s="166">
        <f t="shared" ref="AD53" si="623">AC53*(1+AD52)</f>
        <v>212392.5550119555</v>
      </c>
      <c r="AE53" s="166">
        <f t="shared" ref="AE53" si="624">AD53*(1+AE52)</f>
        <v>228321.99663785216</v>
      </c>
      <c r="AF53" s="166">
        <f t="shared" ref="AF53" si="625">AE53*(1+AF52)</f>
        <v>245446.14638569107</v>
      </c>
      <c r="AG53" s="166">
        <f t="shared" ref="AG53" si="626">AF53*(1+AG52)</f>
        <v>263854.60736461787</v>
      </c>
      <c r="AH53" s="166">
        <f t="shared" ref="AH53" si="627">AG53*(1+AH52)</f>
        <v>283643.70291696419</v>
      </c>
      <c r="AI53" s="166">
        <f t="shared" ref="AI53" si="628">AH53*(1+AI52)</f>
        <v>304916.98063573649</v>
      </c>
      <c r="AJ53" s="166">
        <f t="shared" ref="AJ53" si="629">AI53*(1+AJ52)</f>
        <v>327785.75418341672</v>
      </c>
      <c r="AK53" s="166">
        <f t="shared" ref="AK53" si="630">AJ53*(1+AK52)</f>
        <v>352369.68574717297</v>
      </c>
      <c r="AL53" s="166">
        <f t="shared" ref="AL53" si="631">AK53*(1+AL52)</f>
        <v>378797.41217821091</v>
      </c>
      <c r="AM53" s="166">
        <f t="shared" ref="AM53" si="632">AL53*(1+AM52)</f>
        <v>407207.21809157671</v>
      </c>
      <c r="AN53" s="166">
        <f t="shared" ref="AN53" si="633">AM53*(1+AN52)</f>
        <v>437747.75944844494</v>
      </c>
      <c r="AO53" s="166">
        <f t="shared" ref="AO53" si="634">AN53*(1+AO52)</f>
        <v>470578.84140707826</v>
      </c>
      <c r="AP53" s="166">
        <f t="shared" ref="AP53" si="635">AO53*(1+AP52)</f>
        <v>505872.2545126091</v>
      </c>
      <c r="AQ53" s="166">
        <f t="shared" ref="AQ53" si="636">AP53*(1+AQ52)</f>
        <v>543812.6736010547</v>
      </c>
      <c r="AR53" s="166">
        <f t="shared" ref="AR53" si="637">AQ53*(1+AR52)</f>
        <v>584598.62412113382</v>
      </c>
      <c r="AS53" s="166">
        <f t="shared" ref="AS53" si="638">AR53*(1+AS52)</f>
        <v>628443.52093021886</v>
      </c>
      <c r="AT53" s="166">
        <f t="shared" ref="AT53" si="639">AS53*(1+AT52)</f>
        <v>675576.78499998525</v>
      </c>
      <c r="AU53" s="166">
        <f t="shared" ref="AU53" si="640">AT53*(1+AU52)</f>
        <v>726245.04387498414</v>
      </c>
      <c r="AV53" s="166">
        <f t="shared" ref="AV53" si="641">AU53*(1+AV52)</f>
        <v>780713.42216560792</v>
      </c>
      <c r="AW53" s="166">
        <f t="shared" ref="AW53" si="642">AV53*(1+AW52)</f>
        <v>839266.9288280285</v>
      </c>
      <c r="AX53" s="166">
        <f t="shared" ref="AX53" si="643">AW53*(1+AX52)</f>
        <v>902211.9484901306</v>
      </c>
      <c r="AY53" s="166">
        <f t="shared" ref="AY53" si="644">AX53*(1+AY52)</f>
        <v>969877.84462689038</v>
      </c>
      <c r="AZ53" s="166">
        <f t="shared" ref="AZ53" si="645">AY53*(1+AZ52)</f>
        <v>1042618.6829739071</v>
      </c>
      <c r="BA53" s="166">
        <f t="shared" ref="BA53" si="646">AZ53*(1+BA52)</f>
        <v>1120815.0841969501</v>
      </c>
      <c r="BB53" s="166">
        <f t="shared" ref="BB53" si="647">BA53*(1+BB52)</f>
        <v>1204876.2155117213</v>
      </c>
      <c r="BC53" s="166">
        <f t="shared" ref="BC53" si="648">BB53*(1+BC52)</f>
        <v>1295241.9316751005</v>
      </c>
      <c r="BD53" s="166">
        <f t="shared" ref="BD53" si="649">BC53*(1+BD52)</f>
        <v>1392385.0765507328</v>
      </c>
      <c r="BE53" s="166">
        <f t="shared" ref="BE53" si="650">BD53*(1+BE52)</f>
        <v>1496813.9572920378</v>
      </c>
      <c r="BF53" s="166">
        <f t="shared" ref="BF53" si="651">BE53*(1+BF52)</f>
        <v>1609075.0040889406</v>
      </c>
      <c r="BG53" s="166">
        <f t="shared" ref="BG53" si="652">BF53*(1+BG52)</f>
        <v>1729755.6293956111</v>
      </c>
      <c r="BH53" s="166">
        <f t="shared" ref="BH53" si="653">BG53*(1+BH52)</f>
        <v>1859487.3016002818</v>
      </c>
      <c r="BI53" s="166">
        <f t="shared" ref="BI53" si="654">BH53*(1+BI52)</f>
        <v>1998948.8492203029</v>
      </c>
      <c r="BJ53" s="166">
        <f t="shared" ref="BJ53" si="655">BI53*(1+BJ52)</f>
        <v>2148870.0129118254</v>
      </c>
      <c r="BK53" s="166">
        <f t="shared" ref="BK53" si="656">BJ53*(1+BK52)</f>
        <v>2310035.2638802123</v>
      </c>
      <c r="BL53" s="166">
        <f t="shared" ref="BL53" si="657">BK53*(1+BL52)</f>
        <v>2483287.9086712282</v>
      </c>
      <c r="BM53" s="166">
        <f t="shared" ref="BM53" si="658">BL53*(1+BM52)</f>
        <v>2669534.5018215701</v>
      </c>
      <c r="BN53" s="166">
        <f t="shared" ref="BN53" si="659">BM53*(1+BN52)</f>
        <v>2869749.5894581876</v>
      </c>
      <c r="BO53" s="166">
        <f t="shared" ref="BO53" si="660">BN53*(1+BO52)</f>
        <v>3084980.8086675517</v>
      </c>
      <c r="BP53" s="166">
        <f t="shared" ref="BP53" si="661">BO53*(1+BP52)</f>
        <v>3316354.3693176182</v>
      </c>
      <c r="BQ53" s="166">
        <f t="shared" ref="BQ53" si="662">BP53*(1+BQ52)</f>
        <v>3565080.9470164394</v>
      </c>
    </row>
    <row r="54" spans="1:69">
      <c r="E54" s="61"/>
      <c r="F54" s="61"/>
      <c r="G54" s="61"/>
      <c r="H54" s="59"/>
      <c r="I54" s="63"/>
      <c r="J54" s="8"/>
    </row>
    <row r="55" spans="1:69">
      <c r="E55" s="61"/>
      <c r="F55" s="61"/>
      <c r="G55" s="61"/>
      <c r="I55" s="173" t="s">
        <v>299</v>
      </c>
      <c r="J55" s="529">
        <v>1.5</v>
      </c>
      <c r="K55" s="166">
        <f>J55</f>
        <v>1.5</v>
      </c>
      <c r="L55" s="166">
        <f t="shared" ref="L55" si="663">K55</f>
        <v>1.5</v>
      </c>
      <c r="M55" s="166">
        <f t="shared" ref="M55" si="664">L55</f>
        <v>1.5</v>
      </c>
      <c r="N55" s="166">
        <f t="shared" ref="N55" si="665">M55</f>
        <v>1.5</v>
      </c>
      <c r="O55" s="166">
        <f t="shared" ref="O55" si="666">N55</f>
        <v>1.5</v>
      </c>
      <c r="P55" s="166">
        <f t="shared" ref="P55" si="667">O55</f>
        <v>1.5</v>
      </c>
      <c r="Q55" s="166">
        <f t="shared" ref="Q55" si="668">P55</f>
        <v>1.5</v>
      </c>
      <c r="R55" s="166">
        <f t="shared" ref="R55" si="669">Q55</f>
        <v>1.5</v>
      </c>
      <c r="S55" s="166">
        <f t="shared" ref="S55" si="670">R55</f>
        <v>1.5</v>
      </c>
      <c r="T55" s="166">
        <f t="shared" ref="T55" si="671">S55</f>
        <v>1.5</v>
      </c>
      <c r="U55" s="166">
        <f t="shared" ref="U55" si="672">T55</f>
        <v>1.5</v>
      </c>
      <c r="V55" s="166">
        <f t="shared" ref="V55" si="673">U55</f>
        <v>1.5</v>
      </c>
      <c r="W55" s="166">
        <f t="shared" ref="W55" si="674">V55</f>
        <v>1.5</v>
      </c>
      <c r="X55" s="166">
        <f t="shared" ref="X55" si="675">W55</f>
        <v>1.5</v>
      </c>
      <c r="Y55" s="166">
        <f t="shared" ref="Y55" si="676">X55</f>
        <v>1.5</v>
      </c>
      <c r="Z55" s="166">
        <f t="shared" ref="Z55" si="677">Y55</f>
        <v>1.5</v>
      </c>
      <c r="AA55" s="166">
        <f t="shared" ref="AA55" si="678">Z55</f>
        <v>1.5</v>
      </c>
      <c r="AB55" s="166">
        <f t="shared" ref="AB55" si="679">AA55</f>
        <v>1.5</v>
      </c>
      <c r="AC55" s="166">
        <f t="shared" ref="AC55" si="680">AB55</f>
        <v>1.5</v>
      </c>
      <c r="AD55" s="166">
        <f t="shared" ref="AD55" si="681">AC55</f>
        <v>1.5</v>
      </c>
      <c r="AE55" s="166">
        <f t="shared" ref="AE55" si="682">AD55</f>
        <v>1.5</v>
      </c>
      <c r="AF55" s="166">
        <f t="shared" ref="AF55" si="683">AE55</f>
        <v>1.5</v>
      </c>
      <c r="AG55" s="166">
        <f t="shared" ref="AG55" si="684">AF55</f>
        <v>1.5</v>
      </c>
      <c r="AH55" s="166">
        <f t="shared" ref="AH55" si="685">AG55</f>
        <v>1.5</v>
      </c>
      <c r="AI55" s="166">
        <f t="shared" ref="AI55" si="686">AH55</f>
        <v>1.5</v>
      </c>
      <c r="AJ55" s="166">
        <f t="shared" ref="AJ55" si="687">AI55</f>
        <v>1.5</v>
      </c>
      <c r="AK55" s="166">
        <f t="shared" ref="AK55" si="688">AJ55</f>
        <v>1.5</v>
      </c>
      <c r="AL55" s="166">
        <f t="shared" ref="AL55" si="689">AK55</f>
        <v>1.5</v>
      </c>
      <c r="AM55" s="166">
        <f t="shared" ref="AM55" si="690">AL55</f>
        <v>1.5</v>
      </c>
      <c r="AN55" s="166">
        <f t="shared" ref="AN55" si="691">AM55</f>
        <v>1.5</v>
      </c>
      <c r="AO55" s="166">
        <f t="shared" ref="AO55" si="692">AN55</f>
        <v>1.5</v>
      </c>
      <c r="AP55" s="166">
        <f t="shared" ref="AP55" si="693">AO55</f>
        <v>1.5</v>
      </c>
      <c r="AQ55" s="166">
        <f t="shared" ref="AQ55" si="694">AP55</f>
        <v>1.5</v>
      </c>
      <c r="AR55" s="166">
        <f t="shared" ref="AR55" si="695">AQ55</f>
        <v>1.5</v>
      </c>
      <c r="AS55" s="166">
        <f t="shared" ref="AS55" si="696">AR55</f>
        <v>1.5</v>
      </c>
      <c r="AT55" s="166">
        <f t="shared" ref="AT55" si="697">AS55</f>
        <v>1.5</v>
      </c>
      <c r="AU55" s="166">
        <f t="shared" ref="AU55" si="698">AT55</f>
        <v>1.5</v>
      </c>
      <c r="AV55" s="166">
        <f t="shared" ref="AV55" si="699">AU55</f>
        <v>1.5</v>
      </c>
      <c r="AW55" s="166">
        <f t="shared" ref="AW55" si="700">AV55</f>
        <v>1.5</v>
      </c>
      <c r="AX55" s="166">
        <f t="shared" ref="AX55" si="701">AW55</f>
        <v>1.5</v>
      </c>
      <c r="AY55" s="166">
        <f t="shared" ref="AY55" si="702">AX55</f>
        <v>1.5</v>
      </c>
      <c r="AZ55" s="166">
        <f t="shared" ref="AZ55" si="703">AY55</f>
        <v>1.5</v>
      </c>
      <c r="BA55" s="166">
        <f t="shared" ref="BA55" si="704">AZ55</f>
        <v>1.5</v>
      </c>
      <c r="BB55" s="166">
        <f t="shared" ref="BB55" si="705">BA55</f>
        <v>1.5</v>
      </c>
      <c r="BC55" s="166">
        <f t="shared" ref="BC55" si="706">BB55</f>
        <v>1.5</v>
      </c>
      <c r="BD55" s="166">
        <f t="shared" ref="BD55" si="707">BC55</f>
        <v>1.5</v>
      </c>
      <c r="BE55" s="166">
        <f t="shared" ref="BE55" si="708">BD55</f>
        <v>1.5</v>
      </c>
      <c r="BF55" s="166">
        <f t="shared" ref="BF55" si="709">BE55</f>
        <v>1.5</v>
      </c>
      <c r="BG55" s="166">
        <f t="shared" ref="BG55" si="710">BF55</f>
        <v>1.5</v>
      </c>
      <c r="BH55" s="166">
        <f t="shared" ref="BH55" si="711">BG55</f>
        <v>1.5</v>
      </c>
      <c r="BI55" s="166">
        <f t="shared" ref="BI55" si="712">BH55</f>
        <v>1.5</v>
      </c>
      <c r="BJ55" s="166">
        <f t="shared" ref="BJ55" si="713">BI55</f>
        <v>1.5</v>
      </c>
      <c r="BK55" s="166">
        <f t="shared" ref="BK55" si="714">BJ55</f>
        <v>1.5</v>
      </c>
      <c r="BL55" s="166">
        <f t="shared" ref="BL55" si="715">BK55</f>
        <v>1.5</v>
      </c>
      <c r="BM55" s="166">
        <f t="shared" ref="BM55" si="716">BL55</f>
        <v>1.5</v>
      </c>
      <c r="BN55" s="166">
        <f t="shared" ref="BN55" si="717">BM55</f>
        <v>1.5</v>
      </c>
      <c r="BO55" s="166">
        <f t="shared" ref="BO55" si="718">BN55</f>
        <v>1.5</v>
      </c>
      <c r="BP55" s="166">
        <f t="shared" ref="BP55" si="719">BO55</f>
        <v>1.5</v>
      </c>
      <c r="BQ55" s="166">
        <f t="shared" ref="BQ55" si="720">BP55</f>
        <v>1.5</v>
      </c>
    </row>
    <row r="56" spans="1:69">
      <c r="E56" s="61"/>
      <c r="F56" s="61"/>
      <c r="G56" s="61"/>
      <c r="I56" s="173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</row>
    <row r="57" spans="1:69">
      <c r="I57" s="269" t="s">
        <v>29</v>
      </c>
      <c r="J57" s="167">
        <f t="shared" ref="J57:BQ57" si="721">J55*J53</f>
        <v>75000</v>
      </c>
      <c r="K57" s="167">
        <f t="shared" si="721"/>
        <v>80625</v>
      </c>
      <c r="L57" s="167">
        <f t="shared" si="721"/>
        <v>86671.875</v>
      </c>
      <c r="M57" s="167">
        <f t="shared" si="721"/>
        <v>93172.265625</v>
      </c>
      <c r="N57" s="167">
        <f t="shared" si="721"/>
        <v>100160.185546875</v>
      </c>
      <c r="O57" s="167">
        <f t="shared" si="721"/>
        <v>107672.19946289062</v>
      </c>
      <c r="P57" s="167">
        <f t="shared" si="721"/>
        <v>115747.61442260741</v>
      </c>
      <c r="Q57" s="167">
        <f t="shared" si="721"/>
        <v>124428.68550430296</v>
      </c>
      <c r="R57" s="167">
        <f t="shared" si="721"/>
        <v>133760.83691712568</v>
      </c>
      <c r="S57" s="167">
        <f t="shared" si="721"/>
        <v>143792.89968591009</v>
      </c>
      <c r="T57" s="167">
        <f t="shared" si="721"/>
        <v>154577.36716235336</v>
      </c>
      <c r="U57" s="167">
        <f t="shared" si="721"/>
        <v>166170.66969952983</v>
      </c>
      <c r="V57" s="167">
        <f t="shared" si="721"/>
        <v>178633.46992699458</v>
      </c>
      <c r="W57" s="167">
        <f t="shared" si="721"/>
        <v>192030.98017151916</v>
      </c>
      <c r="X57" s="167">
        <f t="shared" si="721"/>
        <v>206433.30368438311</v>
      </c>
      <c r="Y57" s="167">
        <f t="shared" si="721"/>
        <v>221915.80146071187</v>
      </c>
      <c r="Z57" s="167">
        <f t="shared" si="721"/>
        <v>238559.48657026523</v>
      </c>
      <c r="AA57" s="167">
        <f t="shared" si="721"/>
        <v>256451.44806303512</v>
      </c>
      <c r="AB57" s="167">
        <f t="shared" si="721"/>
        <v>275685.30666776275</v>
      </c>
      <c r="AC57" s="167">
        <f t="shared" si="721"/>
        <v>296361.70466784493</v>
      </c>
      <c r="AD57" s="167">
        <f t="shared" si="721"/>
        <v>318588.83251793322</v>
      </c>
      <c r="AE57" s="167">
        <f t="shared" si="721"/>
        <v>342482.99495677825</v>
      </c>
      <c r="AF57" s="167">
        <f t="shared" si="721"/>
        <v>368169.21957853658</v>
      </c>
      <c r="AG57" s="167">
        <f t="shared" si="721"/>
        <v>395781.91104692681</v>
      </c>
      <c r="AH57" s="167">
        <f t="shared" si="721"/>
        <v>425465.55437544629</v>
      </c>
      <c r="AI57" s="167">
        <f t="shared" si="721"/>
        <v>457375.47095360473</v>
      </c>
      <c r="AJ57" s="167">
        <f t="shared" si="721"/>
        <v>491678.63127512508</v>
      </c>
      <c r="AK57" s="167">
        <f t="shared" si="721"/>
        <v>528554.52862075949</v>
      </c>
      <c r="AL57" s="167">
        <f t="shared" si="721"/>
        <v>568196.11826731637</v>
      </c>
      <c r="AM57" s="167">
        <f t="shared" si="721"/>
        <v>610810.82713736501</v>
      </c>
      <c r="AN57" s="167">
        <f t="shared" si="721"/>
        <v>656621.6391726674</v>
      </c>
      <c r="AO57" s="167">
        <f t="shared" si="721"/>
        <v>705868.26211061736</v>
      </c>
      <c r="AP57" s="167">
        <f t="shared" si="721"/>
        <v>758808.38176891371</v>
      </c>
      <c r="AQ57" s="167">
        <f t="shared" si="721"/>
        <v>815719.01040158211</v>
      </c>
      <c r="AR57" s="167">
        <f t="shared" si="721"/>
        <v>876897.93618170079</v>
      </c>
      <c r="AS57" s="167">
        <f t="shared" si="721"/>
        <v>942665.28139532823</v>
      </c>
      <c r="AT57" s="167">
        <f t="shared" si="721"/>
        <v>1013365.1774999779</v>
      </c>
      <c r="AU57" s="167">
        <f t="shared" si="721"/>
        <v>1089367.5658124762</v>
      </c>
      <c r="AV57" s="167">
        <f t="shared" si="721"/>
        <v>1171070.1332484118</v>
      </c>
      <c r="AW57" s="167">
        <f t="shared" si="721"/>
        <v>1258900.3932420427</v>
      </c>
      <c r="AX57" s="167">
        <f t="shared" si="721"/>
        <v>1353317.9227351958</v>
      </c>
      <c r="AY57" s="167">
        <f t="shared" si="721"/>
        <v>1454816.7669403355</v>
      </c>
      <c r="AZ57" s="167">
        <f t="shared" si="721"/>
        <v>1563928.0244608605</v>
      </c>
      <c r="BA57" s="167">
        <f t="shared" si="721"/>
        <v>1681222.626295425</v>
      </c>
      <c r="BB57" s="167">
        <f t="shared" si="721"/>
        <v>1807314.3232675819</v>
      </c>
      <c r="BC57" s="167">
        <f t="shared" si="721"/>
        <v>1942862.8975126506</v>
      </c>
      <c r="BD57" s="167">
        <f t="shared" si="721"/>
        <v>2088577.6148260992</v>
      </c>
      <c r="BE57" s="167">
        <f t="shared" si="721"/>
        <v>2245220.9359380566</v>
      </c>
      <c r="BF57" s="167">
        <f t="shared" si="721"/>
        <v>2413612.5061334111</v>
      </c>
      <c r="BG57" s="167">
        <f t="shared" si="721"/>
        <v>2594633.4440934164</v>
      </c>
      <c r="BH57" s="167">
        <f t="shared" si="721"/>
        <v>2789230.9524004227</v>
      </c>
      <c r="BI57" s="167">
        <f t="shared" si="721"/>
        <v>2998423.2738304543</v>
      </c>
      <c r="BJ57" s="167">
        <f t="shared" si="721"/>
        <v>3223305.0193677382</v>
      </c>
      <c r="BK57" s="167">
        <f t="shared" si="721"/>
        <v>3465052.8958203187</v>
      </c>
      <c r="BL57" s="167">
        <f t="shared" si="721"/>
        <v>3724931.8630068423</v>
      </c>
      <c r="BM57" s="167">
        <f t="shared" si="721"/>
        <v>4004301.7527323551</v>
      </c>
      <c r="BN57" s="167">
        <f t="shared" si="721"/>
        <v>4304624.3841872811</v>
      </c>
      <c r="BO57" s="167">
        <f t="shared" si="721"/>
        <v>4627471.2130013276</v>
      </c>
      <c r="BP57" s="167">
        <f t="shared" si="721"/>
        <v>4974531.5539764278</v>
      </c>
      <c r="BQ57" s="167">
        <f t="shared" si="721"/>
        <v>5347621.4205246586</v>
      </c>
    </row>
    <row r="58" spans="1:69">
      <c r="I58" s="63"/>
      <c r="J58" s="8"/>
      <c r="K58" s="91"/>
    </row>
    <row r="59" spans="1:69">
      <c r="I59" s="63" t="s">
        <v>297</v>
      </c>
      <c r="J59" s="529">
        <f>J55*0.1</f>
        <v>0.15000000000000002</v>
      </c>
      <c r="K59" s="166">
        <f>J59</f>
        <v>0.15000000000000002</v>
      </c>
      <c r="L59" s="166">
        <f t="shared" ref="L59" si="722">K59</f>
        <v>0.15000000000000002</v>
      </c>
      <c r="M59" s="166">
        <f t="shared" ref="M59" si="723">L59</f>
        <v>0.15000000000000002</v>
      </c>
      <c r="N59" s="166">
        <f t="shared" ref="N59" si="724">M59</f>
        <v>0.15000000000000002</v>
      </c>
      <c r="O59" s="166">
        <f t="shared" ref="O59" si="725">N59</f>
        <v>0.15000000000000002</v>
      </c>
      <c r="P59" s="166">
        <f t="shared" ref="P59" si="726">O59</f>
        <v>0.15000000000000002</v>
      </c>
      <c r="Q59" s="166">
        <f t="shared" ref="Q59" si="727">P59</f>
        <v>0.15000000000000002</v>
      </c>
      <c r="R59" s="166">
        <f t="shared" ref="R59" si="728">Q59</f>
        <v>0.15000000000000002</v>
      </c>
      <c r="S59" s="166">
        <f t="shared" ref="S59" si="729">R59</f>
        <v>0.15000000000000002</v>
      </c>
      <c r="T59" s="166">
        <f t="shared" ref="T59" si="730">S59</f>
        <v>0.15000000000000002</v>
      </c>
      <c r="U59" s="166">
        <f t="shared" ref="U59" si="731">T59</f>
        <v>0.15000000000000002</v>
      </c>
      <c r="V59" s="166">
        <f t="shared" ref="V59" si="732">U59</f>
        <v>0.15000000000000002</v>
      </c>
      <c r="W59" s="166">
        <f t="shared" ref="W59" si="733">V59</f>
        <v>0.15000000000000002</v>
      </c>
      <c r="X59" s="166">
        <f t="shared" ref="X59" si="734">W59</f>
        <v>0.15000000000000002</v>
      </c>
      <c r="Y59" s="166">
        <f t="shared" ref="Y59" si="735">X59</f>
        <v>0.15000000000000002</v>
      </c>
      <c r="Z59" s="166">
        <f t="shared" ref="Z59" si="736">Y59</f>
        <v>0.15000000000000002</v>
      </c>
      <c r="AA59" s="166">
        <f t="shared" ref="AA59" si="737">Z59</f>
        <v>0.15000000000000002</v>
      </c>
      <c r="AB59" s="166">
        <f t="shared" ref="AB59" si="738">AA59</f>
        <v>0.15000000000000002</v>
      </c>
      <c r="AC59" s="166">
        <f t="shared" ref="AC59" si="739">AB59</f>
        <v>0.15000000000000002</v>
      </c>
      <c r="AD59" s="166">
        <f t="shared" ref="AD59" si="740">AC59</f>
        <v>0.15000000000000002</v>
      </c>
      <c r="AE59" s="166">
        <f t="shared" ref="AE59" si="741">AD59</f>
        <v>0.15000000000000002</v>
      </c>
      <c r="AF59" s="166">
        <f t="shared" ref="AF59" si="742">AE59</f>
        <v>0.15000000000000002</v>
      </c>
      <c r="AG59" s="166">
        <f t="shared" ref="AG59" si="743">AF59</f>
        <v>0.15000000000000002</v>
      </c>
      <c r="AH59" s="166">
        <f t="shared" ref="AH59" si="744">AG59</f>
        <v>0.15000000000000002</v>
      </c>
      <c r="AI59" s="166">
        <f t="shared" ref="AI59" si="745">AH59</f>
        <v>0.15000000000000002</v>
      </c>
      <c r="AJ59" s="166">
        <f t="shared" ref="AJ59" si="746">AI59</f>
        <v>0.15000000000000002</v>
      </c>
      <c r="AK59" s="166">
        <f t="shared" ref="AK59" si="747">AJ59</f>
        <v>0.15000000000000002</v>
      </c>
      <c r="AL59" s="166">
        <f t="shared" ref="AL59" si="748">AK59</f>
        <v>0.15000000000000002</v>
      </c>
      <c r="AM59" s="166">
        <f t="shared" ref="AM59" si="749">AL59</f>
        <v>0.15000000000000002</v>
      </c>
      <c r="AN59" s="166">
        <f t="shared" ref="AN59" si="750">AM59</f>
        <v>0.15000000000000002</v>
      </c>
      <c r="AO59" s="166">
        <f t="shared" ref="AO59" si="751">AN59</f>
        <v>0.15000000000000002</v>
      </c>
      <c r="AP59" s="166">
        <f t="shared" ref="AP59" si="752">AO59</f>
        <v>0.15000000000000002</v>
      </c>
      <c r="AQ59" s="166">
        <f t="shared" ref="AQ59" si="753">AP59</f>
        <v>0.15000000000000002</v>
      </c>
      <c r="AR59" s="166">
        <f t="shared" ref="AR59" si="754">AQ59</f>
        <v>0.15000000000000002</v>
      </c>
      <c r="AS59" s="166">
        <f t="shared" ref="AS59" si="755">AR59</f>
        <v>0.15000000000000002</v>
      </c>
      <c r="AT59" s="166">
        <f t="shared" ref="AT59" si="756">AS59</f>
        <v>0.15000000000000002</v>
      </c>
      <c r="AU59" s="166">
        <f t="shared" ref="AU59" si="757">AT59</f>
        <v>0.15000000000000002</v>
      </c>
      <c r="AV59" s="166">
        <f t="shared" ref="AV59" si="758">AU59</f>
        <v>0.15000000000000002</v>
      </c>
      <c r="AW59" s="166">
        <f t="shared" ref="AW59" si="759">AV59</f>
        <v>0.15000000000000002</v>
      </c>
      <c r="AX59" s="166">
        <f t="shared" ref="AX59" si="760">AW59</f>
        <v>0.15000000000000002</v>
      </c>
      <c r="AY59" s="166">
        <f t="shared" ref="AY59" si="761">AX59</f>
        <v>0.15000000000000002</v>
      </c>
      <c r="AZ59" s="166">
        <f t="shared" ref="AZ59" si="762">AY59</f>
        <v>0.15000000000000002</v>
      </c>
      <c r="BA59" s="166">
        <f t="shared" ref="BA59" si="763">AZ59</f>
        <v>0.15000000000000002</v>
      </c>
      <c r="BB59" s="166">
        <f t="shared" ref="BB59" si="764">BA59</f>
        <v>0.15000000000000002</v>
      </c>
      <c r="BC59" s="166">
        <f t="shared" ref="BC59" si="765">BB59</f>
        <v>0.15000000000000002</v>
      </c>
      <c r="BD59" s="166">
        <f t="shared" ref="BD59" si="766">BC59</f>
        <v>0.15000000000000002</v>
      </c>
      <c r="BE59" s="166">
        <f t="shared" ref="BE59" si="767">BD59</f>
        <v>0.15000000000000002</v>
      </c>
      <c r="BF59" s="166">
        <f t="shared" ref="BF59" si="768">BE59</f>
        <v>0.15000000000000002</v>
      </c>
      <c r="BG59" s="166">
        <f t="shared" ref="BG59" si="769">BF59</f>
        <v>0.15000000000000002</v>
      </c>
      <c r="BH59" s="166">
        <f t="shared" ref="BH59" si="770">BG59</f>
        <v>0.15000000000000002</v>
      </c>
      <c r="BI59" s="166">
        <f t="shared" ref="BI59" si="771">BH59</f>
        <v>0.15000000000000002</v>
      </c>
      <c r="BJ59" s="166">
        <f t="shared" ref="BJ59" si="772">BI59</f>
        <v>0.15000000000000002</v>
      </c>
      <c r="BK59" s="166">
        <f t="shared" ref="BK59" si="773">BJ59</f>
        <v>0.15000000000000002</v>
      </c>
      <c r="BL59" s="166">
        <f t="shared" ref="BL59" si="774">BK59</f>
        <v>0.15000000000000002</v>
      </c>
      <c r="BM59" s="166">
        <f t="shared" ref="BM59" si="775">BL59</f>
        <v>0.15000000000000002</v>
      </c>
      <c r="BN59" s="166">
        <f t="shared" ref="BN59" si="776">BM59</f>
        <v>0.15000000000000002</v>
      </c>
      <c r="BO59" s="166">
        <f t="shared" ref="BO59" si="777">BN59</f>
        <v>0.15000000000000002</v>
      </c>
      <c r="BP59" s="166">
        <f t="shared" ref="BP59" si="778">BO59</f>
        <v>0.15000000000000002</v>
      </c>
      <c r="BQ59" s="166">
        <f t="shared" ref="BQ59" si="779">BP59</f>
        <v>0.15000000000000002</v>
      </c>
    </row>
    <row r="60" spans="1:69">
      <c r="I60" s="517" t="str">
        <f>I53</f>
        <v>Platform Users</v>
      </c>
      <c r="J60" s="61">
        <f t="shared" ref="J60:BQ60" si="780">J53</f>
        <v>50000</v>
      </c>
      <c r="K60" s="61">
        <f t="shared" si="780"/>
        <v>53750</v>
      </c>
      <c r="L60" s="61">
        <f t="shared" si="780"/>
        <v>57781.25</v>
      </c>
      <c r="M60" s="61">
        <f t="shared" si="780"/>
        <v>62114.84375</v>
      </c>
      <c r="N60" s="61">
        <f t="shared" si="780"/>
        <v>66773.45703125</v>
      </c>
      <c r="O60" s="61">
        <f t="shared" si="780"/>
        <v>71781.46630859375</v>
      </c>
      <c r="P60" s="61">
        <f t="shared" si="780"/>
        <v>77165.076281738278</v>
      </c>
      <c r="Q60" s="61">
        <f t="shared" si="780"/>
        <v>82952.457002868643</v>
      </c>
      <c r="R60" s="61">
        <f t="shared" si="780"/>
        <v>89173.891278083785</v>
      </c>
      <c r="S60" s="61">
        <f t="shared" si="780"/>
        <v>95861.933123940064</v>
      </c>
      <c r="T60" s="61">
        <f t="shared" si="780"/>
        <v>103051.57810823557</v>
      </c>
      <c r="U60" s="61">
        <f t="shared" si="780"/>
        <v>110780.44646635323</v>
      </c>
      <c r="V60" s="61">
        <f t="shared" si="780"/>
        <v>119088.97995132972</v>
      </c>
      <c r="W60" s="61">
        <f t="shared" si="780"/>
        <v>128020.65344767945</v>
      </c>
      <c r="X60" s="61">
        <f t="shared" si="780"/>
        <v>137622.20245625541</v>
      </c>
      <c r="Y60" s="61">
        <f t="shared" si="780"/>
        <v>147943.86764047458</v>
      </c>
      <c r="Z60" s="61">
        <f t="shared" si="780"/>
        <v>159039.65771351015</v>
      </c>
      <c r="AA60" s="61">
        <f t="shared" si="780"/>
        <v>170967.63204202341</v>
      </c>
      <c r="AB60" s="61">
        <f t="shared" si="780"/>
        <v>183790.20444517516</v>
      </c>
      <c r="AC60" s="61">
        <f t="shared" si="780"/>
        <v>197574.46977856327</v>
      </c>
      <c r="AD60" s="61">
        <f t="shared" si="780"/>
        <v>212392.5550119555</v>
      </c>
      <c r="AE60" s="61">
        <f t="shared" si="780"/>
        <v>228321.99663785216</v>
      </c>
      <c r="AF60" s="61">
        <f t="shared" si="780"/>
        <v>245446.14638569107</v>
      </c>
      <c r="AG60" s="61">
        <f t="shared" si="780"/>
        <v>263854.60736461787</v>
      </c>
      <c r="AH60" s="61">
        <f t="shared" si="780"/>
        <v>283643.70291696419</v>
      </c>
      <c r="AI60" s="61">
        <f t="shared" si="780"/>
        <v>304916.98063573649</v>
      </c>
      <c r="AJ60" s="61">
        <f t="shared" si="780"/>
        <v>327785.75418341672</v>
      </c>
      <c r="AK60" s="61">
        <f t="shared" si="780"/>
        <v>352369.68574717297</v>
      </c>
      <c r="AL60" s="61">
        <f t="shared" si="780"/>
        <v>378797.41217821091</v>
      </c>
      <c r="AM60" s="61">
        <f t="shared" si="780"/>
        <v>407207.21809157671</v>
      </c>
      <c r="AN60" s="61">
        <f t="shared" si="780"/>
        <v>437747.75944844494</v>
      </c>
      <c r="AO60" s="61">
        <f t="shared" si="780"/>
        <v>470578.84140707826</v>
      </c>
      <c r="AP60" s="61">
        <f t="shared" si="780"/>
        <v>505872.2545126091</v>
      </c>
      <c r="AQ60" s="61">
        <f t="shared" si="780"/>
        <v>543812.6736010547</v>
      </c>
      <c r="AR60" s="61">
        <f t="shared" si="780"/>
        <v>584598.62412113382</v>
      </c>
      <c r="AS60" s="61">
        <f t="shared" si="780"/>
        <v>628443.52093021886</v>
      </c>
      <c r="AT60" s="61">
        <f t="shared" si="780"/>
        <v>675576.78499998525</v>
      </c>
      <c r="AU60" s="61">
        <f t="shared" si="780"/>
        <v>726245.04387498414</v>
      </c>
      <c r="AV60" s="61">
        <f t="shared" si="780"/>
        <v>780713.42216560792</v>
      </c>
      <c r="AW60" s="61">
        <f t="shared" si="780"/>
        <v>839266.9288280285</v>
      </c>
      <c r="AX60" s="61">
        <f t="shared" si="780"/>
        <v>902211.9484901306</v>
      </c>
      <c r="AY60" s="61">
        <f t="shared" si="780"/>
        <v>969877.84462689038</v>
      </c>
      <c r="AZ60" s="61">
        <f t="shared" si="780"/>
        <v>1042618.6829739071</v>
      </c>
      <c r="BA60" s="61">
        <f t="shared" si="780"/>
        <v>1120815.0841969501</v>
      </c>
      <c r="BB60" s="61">
        <f t="shared" si="780"/>
        <v>1204876.2155117213</v>
      </c>
      <c r="BC60" s="61">
        <f t="shared" si="780"/>
        <v>1295241.9316751005</v>
      </c>
      <c r="BD60" s="61">
        <f t="shared" si="780"/>
        <v>1392385.0765507328</v>
      </c>
      <c r="BE60" s="61">
        <f t="shared" si="780"/>
        <v>1496813.9572920378</v>
      </c>
      <c r="BF60" s="61">
        <f t="shared" si="780"/>
        <v>1609075.0040889406</v>
      </c>
      <c r="BG60" s="61">
        <f t="shared" si="780"/>
        <v>1729755.6293956111</v>
      </c>
      <c r="BH60" s="61">
        <f t="shared" si="780"/>
        <v>1859487.3016002818</v>
      </c>
      <c r="BI60" s="61">
        <f t="shared" si="780"/>
        <v>1998948.8492203029</v>
      </c>
      <c r="BJ60" s="61">
        <f t="shared" si="780"/>
        <v>2148870.0129118254</v>
      </c>
      <c r="BK60" s="61">
        <f t="shared" si="780"/>
        <v>2310035.2638802123</v>
      </c>
      <c r="BL60" s="61">
        <f t="shared" si="780"/>
        <v>2483287.9086712282</v>
      </c>
      <c r="BM60" s="61">
        <f t="shared" si="780"/>
        <v>2669534.5018215701</v>
      </c>
      <c r="BN60" s="61">
        <f t="shared" si="780"/>
        <v>2869749.5894581876</v>
      </c>
      <c r="BO60" s="61">
        <f t="shared" si="780"/>
        <v>3084980.8086675517</v>
      </c>
      <c r="BP60" s="61">
        <f t="shared" si="780"/>
        <v>3316354.3693176182</v>
      </c>
      <c r="BQ60" s="61">
        <f t="shared" si="780"/>
        <v>3565080.9470164394</v>
      </c>
    </row>
    <row r="61" spans="1:69">
      <c r="I61" s="269" t="s">
        <v>295</v>
      </c>
      <c r="J61" s="167">
        <f>J59*J60</f>
        <v>7500.0000000000009</v>
      </c>
      <c r="K61" s="167">
        <f t="shared" ref="K61:BQ61" si="781">K59*K60</f>
        <v>8062.5000000000009</v>
      </c>
      <c r="L61" s="167">
        <f t="shared" si="781"/>
        <v>8667.1875000000018</v>
      </c>
      <c r="M61" s="167">
        <f t="shared" si="781"/>
        <v>9317.2265625000018</v>
      </c>
      <c r="N61" s="167">
        <f t="shared" si="781"/>
        <v>10016.018554687502</v>
      </c>
      <c r="O61" s="167">
        <f t="shared" si="781"/>
        <v>10767.219946289064</v>
      </c>
      <c r="P61" s="167">
        <f t="shared" si="781"/>
        <v>11574.761442260744</v>
      </c>
      <c r="Q61" s="167">
        <f t="shared" si="781"/>
        <v>12442.868550430298</v>
      </c>
      <c r="R61" s="167">
        <f t="shared" si="781"/>
        <v>13376.083691712569</v>
      </c>
      <c r="S61" s="167">
        <f t="shared" si="781"/>
        <v>14379.289968591012</v>
      </c>
      <c r="T61" s="167">
        <f t="shared" si="781"/>
        <v>15457.736716235337</v>
      </c>
      <c r="U61" s="167">
        <f t="shared" si="781"/>
        <v>16617.066969952986</v>
      </c>
      <c r="V61" s="167">
        <f t="shared" si="781"/>
        <v>17863.346992699462</v>
      </c>
      <c r="W61" s="167">
        <f t="shared" si="781"/>
        <v>19203.098017151919</v>
      </c>
      <c r="X61" s="167">
        <f t="shared" si="781"/>
        <v>20643.330368438314</v>
      </c>
      <c r="Y61" s="167">
        <f t="shared" si="781"/>
        <v>22191.580146071192</v>
      </c>
      <c r="Z61" s="167">
        <f t="shared" si="781"/>
        <v>23855.948657026525</v>
      </c>
      <c r="AA61" s="167">
        <f t="shared" si="781"/>
        <v>25645.144806303517</v>
      </c>
      <c r="AB61" s="167">
        <f t="shared" si="781"/>
        <v>27568.530666776278</v>
      </c>
      <c r="AC61" s="167">
        <f t="shared" si="781"/>
        <v>29636.170466784497</v>
      </c>
      <c r="AD61" s="167">
        <f t="shared" si="781"/>
        <v>31858.88325179333</v>
      </c>
      <c r="AE61" s="167">
        <f t="shared" si="781"/>
        <v>34248.299495677828</v>
      </c>
      <c r="AF61" s="167">
        <f t="shared" si="781"/>
        <v>36816.921957853665</v>
      </c>
      <c r="AG61" s="167">
        <f t="shared" si="781"/>
        <v>39578.191104692683</v>
      </c>
      <c r="AH61" s="167">
        <f t="shared" si="781"/>
        <v>42546.555437544637</v>
      </c>
      <c r="AI61" s="167">
        <f t="shared" si="781"/>
        <v>45737.547095360482</v>
      </c>
      <c r="AJ61" s="167">
        <f t="shared" si="781"/>
        <v>49167.863127512515</v>
      </c>
      <c r="AK61" s="167">
        <f t="shared" si="781"/>
        <v>52855.452862075952</v>
      </c>
      <c r="AL61" s="167">
        <f t="shared" si="781"/>
        <v>56819.611826731649</v>
      </c>
      <c r="AM61" s="167">
        <f t="shared" si="781"/>
        <v>61081.082713736512</v>
      </c>
      <c r="AN61" s="167">
        <f t="shared" si="781"/>
        <v>65662.163917266749</v>
      </c>
      <c r="AO61" s="167">
        <f t="shared" si="781"/>
        <v>70586.826211061751</v>
      </c>
      <c r="AP61" s="167">
        <f t="shared" si="781"/>
        <v>75880.838176891382</v>
      </c>
      <c r="AQ61" s="167">
        <f t="shared" si="781"/>
        <v>81571.90104015822</v>
      </c>
      <c r="AR61" s="167">
        <f t="shared" si="781"/>
        <v>87689.793618170079</v>
      </c>
      <c r="AS61" s="167">
        <f t="shared" si="781"/>
        <v>94266.528139532849</v>
      </c>
      <c r="AT61" s="167">
        <f t="shared" si="781"/>
        <v>101336.5177499978</v>
      </c>
      <c r="AU61" s="167">
        <f t="shared" si="781"/>
        <v>108936.75658124764</v>
      </c>
      <c r="AV61" s="167">
        <f t="shared" si="781"/>
        <v>117107.0133248412</v>
      </c>
      <c r="AW61" s="167">
        <f t="shared" si="781"/>
        <v>125890.03932420429</v>
      </c>
      <c r="AX61" s="167">
        <f t="shared" si="781"/>
        <v>135331.79227351962</v>
      </c>
      <c r="AY61" s="167">
        <f t="shared" si="781"/>
        <v>145481.67669403358</v>
      </c>
      <c r="AZ61" s="167">
        <f t="shared" si="781"/>
        <v>156392.80244608608</v>
      </c>
      <c r="BA61" s="167">
        <f t="shared" si="781"/>
        <v>168122.26262954253</v>
      </c>
      <c r="BB61" s="167">
        <f t="shared" si="781"/>
        <v>180731.43232675822</v>
      </c>
      <c r="BC61" s="167">
        <f t="shared" si="781"/>
        <v>194286.28975126511</v>
      </c>
      <c r="BD61" s="167">
        <f t="shared" si="781"/>
        <v>208857.76148260996</v>
      </c>
      <c r="BE61" s="167">
        <f t="shared" si="781"/>
        <v>224522.09359380571</v>
      </c>
      <c r="BF61" s="167">
        <f t="shared" si="781"/>
        <v>241361.25061334111</v>
      </c>
      <c r="BG61" s="167">
        <f t="shared" si="781"/>
        <v>259463.34440934172</v>
      </c>
      <c r="BH61" s="167">
        <f t="shared" si="781"/>
        <v>278923.09524004231</v>
      </c>
      <c r="BI61" s="167">
        <f t="shared" si="781"/>
        <v>299842.32738304546</v>
      </c>
      <c r="BJ61" s="167">
        <f t="shared" si="781"/>
        <v>322330.50193677389</v>
      </c>
      <c r="BK61" s="167">
        <f t="shared" si="781"/>
        <v>346505.2895820319</v>
      </c>
      <c r="BL61" s="167">
        <f t="shared" si="781"/>
        <v>372493.18630068429</v>
      </c>
      <c r="BM61" s="167">
        <f t="shared" si="781"/>
        <v>400430.1752732356</v>
      </c>
      <c r="BN61" s="167">
        <f t="shared" si="781"/>
        <v>430462.43841872818</v>
      </c>
      <c r="BO61" s="167">
        <f t="shared" si="781"/>
        <v>462747.12130013283</v>
      </c>
      <c r="BP61" s="167">
        <f t="shared" si="781"/>
        <v>497453.15539764281</v>
      </c>
      <c r="BQ61" s="167">
        <f t="shared" si="781"/>
        <v>534762.14205246593</v>
      </c>
    </row>
    <row r="63" spans="1:69" s="12" customFormat="1"/>
  </sheetData>
  <mergeCells count="20">
    <mergeCell ref="J50:U50"/>
    <mergeCell ref="V50:AG50"/>
    <mergeCell ref="AH50:AS50"/>
    <mergeCell ref="AT50:BE50"/>
    <mergeCell ref="BF50:BQ50"/>
    <mergeCell ref="J35:U35"/>
    <mergeCell ref="V35:AG35"/>
    <mergeCell ref="AH35:AS35"/>
    <mergeCell ref="AT35:BE35"/>
    <mergeCell ref="BF35:BQ35"/>
    <mergeCell ref="J20:U20"/>
    <mergeCell ref="V20:AG20"/>
    <mergeCell ref="AH20:AS20"/>
    <mergeCell ref="AT20:BE20"/>
    <mergeCell ref="BF20:BQ20"/>
    <mergeCell ref="BF5:BQ5"/>
    <mergeCell ref="J5:U5"/>
    <mergeCell ref="V5:AG5"/>
    <mergeCell ref="AH5:AS5"/>
    <mergeCell ref="AT5:BE5"/>
  </mergeCells>
  <phoneticPr fontId="5" type="noConversion"/>
  <pageMargins left="0.25" right="0.25" top="0.75" bottom="0.75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BV160"/>
  <sheetViews>
    <sheetView showGridLines="0" zoomScaleNormal="100" zoomScalePageLayoutView="110" workbookViewId="0"/>
  </sheetViews>
  <sheetFormatPr baseColWidth="10" defaultColWidth="9.1640625" defaultRowHeight="14" outlineLevelRow="1"/>
  <cols>
    <col min="1" max="1" width="1.6640625" style="6" customWidth="1"/>
    <col min="2" max="7" width="9.33203125" style="6" customWidth="1"/>
    <col min="8" max="8" width="3.33203125" style="6" customWidth="1"/>
    <col min="9" max="9" width="27.5" style="6" customWidth="1"/>
    <col min="10" max="10" width="15.1640625" style="6" customWidth="1"/>
    <col min="11" max="14" width="13.1640625" style="6" customWidth="1"/>
    <col min="15" max="70" width="13.33203125" style="6" customWidth="1"/>
    <col min="71" max="72" width="13.33203125" style="8" customWidth="1"/>
    <col min="73" max="74" width="9.6640625" style="6" bestFit="1" customWidth="1"/>
    <col min="75" max="16384" width="9.1640625" style="6"/>
  </cols>
  <sheetData>
    <row r="1" spans="1:74" s="10" customFormat="1" ht="20">
      <c r="A1" s="125" t="s">
        <v>138</v>
      </c>
      <c r="B1" s="125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6"/>
      <c r="BO1" s="136"/>
      <c r="BP1" s="136"/>
      <c r="BQ1" s="136"/>
      <c r="BR1" s="136"/>
      <c r="BS1" s="136"/>
      <c r="BT1" s="136"/>
      <c r="BU1" s="136"/>
      <c r="BV1" s="136"/>
    </row>
    <row r="2" spans="1:74" s="27" customForma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</row>
    <row r="3" spans="1:74" s="10" customFormat="1" outlineLevel="1">
      <c r="B3" s="66"/>
      <c r="C3" s="381">
        <f>O3</f>
        <v>45261</v>
      </c>
      <c r="D3" s="381">
        <f>EDATE(C3,12)</f>
        <v>45627</v>
      </c>
      <c r="E3" s="381">
        <f t="shared" ref="E3:G3" si="0">EDATE(D3,12)</f>
        <v>45992</v>
      </c>
      <c r="F3" s="381">
        <f t="shared" si="0"/>
        <v>46357</v>
      </c>
      <c r="G3" s="381">
        <f t="shared" si="0"/>
        <v>46722</v>
      </c>
      <c r="I3" s="133"/>
      <c r="J3" s="379" t="s">
        <v>264</v>
      </c>
      <c r="K3" s="536" t="s">
        <v>137</v>
      </c>
      <c r="L3" s="536"/>
      <c r="M3" s="536"/>
      <c r="N3" s="536"/>
      <c r="O3" s="535">
        <f>'2) Assumptions'!$D$2</f>
        <v>45261</v>
      </c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>
        <f>'2) Assumptions'!$E$2</f>
        <v>45627</v>
      </c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>
        <f>'2) Assumptions'!$F$2</f>
        <v>45992</v>
      </c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>
        <f>'2) Assumptions'!G$2</f>
        <v>46357</v>
      </c>
      <c r="AZ3" s="535"/>
      <c r="BA3" s="535"/>
      <c r="BB3" s="535"/>
      <c r="BC3" s="535"/>
      <c r="BD3" s="535"/>
      <c r="BE3" s="535"/>
      <c r="BF3" s="535"/>
      <c r="BG3" s="535"/>
      <c r="BH3" s="535"/>
      <c r="BI3" s="535"/>
      <c r="BJ3" s="535"/>
      <c r="BK3" s="535">
        <f>'2) Assumptions'!$H$2</f>
        <v>46722</v>
      </c>
      <c r="BL3" s="535"/>
      <c r="BM3" s="535"/>
      <c r="BN3" s="535"/>
      <c r="BO3" s="535"/>
      <c r="BP3" s="535"/>
      <c r="BQ3" s="535"/>
      <c r="BR3" s="535"/>
      <c r="BS3" s="535"/>
      <c r="BT3" s="535"/>
      <c r="BU3" s="535"/>
      <c r="BV3" s="535"/>
    </row>
    <row r="4" spans="1:74" s="10" customFormat="1" outlineLevel="1">
      <c r="B4" s="63" t="s">
        <v>30</v>
      </c>
      <c r="C4" s="329">
        <f>SUM(O19:Z19)</f>
        <v>6210000</v>
      </c>
      <c r="D4" s="329">
        <f>SUM(AA19:AL19)</f>
        <v>10627500</v>
      </c>
      <c r="E4" s="329">
        <f>SUM(AM19:AX19)</f>
        <v>18939375</v>
      </c>
      <c r="F4" s="329">
        <f>SUM(AY19:BJ19)</f>
        <v>34852968.75</v>
      </c>
      <c r="G4" s="329">
        <f>SUM(BK19:BV19)</f>
        <v>65694023.4375</v>
      </c>
      <c r="I4" s="134"/>
      <c r="J4" s="134" t="s">
        <v>265</v>
      </c>
      <c r="K4" s="379">
        <f>EDATE(O3,12)</f>
        <v>45627</v>
      </c>
      <c r="L4" s="379">
        <f>EDATE(K4,12)</f>
        <v>45992</v>
      </c>
      <c r="M4" s="379">
        <f t="shared" ref="M4:N4" si="1">EDATE(L4,12)</f>
        <v>46357</v>
      </c>
      <c r="N4" s="379">
        <f t="shared" si="1"/>
        <v>46722</v>
      </c>
      <c r="O4" s="135">
        <f>EDATE('2) Assumptions'!$D$5,0)</f>
        <v>44927</v>
      </c>
      <c r="P4" s="135">
        <f>EDATE('2) Assumptions'!$D$5,1)</f>
        <v>44958</v>
      </c>
      <c r="Q4" s="135">
        <f>EDATE('2) Assumptions'!$D$5,2)</f>
        <v>44986</v>
      </c>
      <c r="R4" s="135">
        <f>EDATE('2) Assumptions'!$D$5,3)</f>
        <v>45017</v>
      </c>
      <c r="S4" s="135">
        <f>EDATE('2) Assumptions'!$D$5,4)</f>
        <v>45047</v>
      </c>
      <c r="T4" s="135">
        <f>EDATE('2) Assumptions'!$D$5,5)</f>
        <v>45078</v>
      </c>
      <c r="U4" s="135">
        <f>EDATE('2) Assumptions'!$D$5,6)</f>
        <v>45108</v>
      </c>
      <c r="V4" s="135">
        <f>EDATE('2) Assumptions'!$D$5,7)</f>
        <v>45139</v>
      </c>
      <c r="W4" s="135">
        <f>EDATE('2) Assumptions'!$D$5,8)</f>
        <v>45170</v>
      </c>
      <c r="X4" s="135">
        <f>EDATE('2) Assumptions'!$D$5,9)</f>
        <v>45200</v>
      </c>
      <c r="Y4" s="135">
        <f>EDATE('2) Assumptions'!$D$5,10)</f>
        <v>45231</v>
      </c>
      <c r="Z4" s="135">
        <f>EDATE('2) Assumptions'!$D$5,11)</f>
        <v>45261</v>
      </c>
      <c r="AA4" s="135">
        <f>EDATE('2) Assumptions'!$D$5,0)</f>
        <v>44927</v>
      </c>
      <c r="AB4" s="135">
        <f>EDATE('2) Assumptions'!$D$5,1)</f>
        <v>44958</v>
      </c>
      <c r="AC4" s="135">
        <f>EDATE('2) Assumptions'!$D$5,2)</f>
        <v>44986</v>
      </c>
      <c r="AD4" s="135">
        <f>EDATE('2) Assumptions'!$D$5,3)</f>
        <v>45017</v>
      </c>
      <c r="AE4" s="135">
        <f>EDATE('2) Assumptions'!$D$5,4)</f>
        <v>45047</v>
      </c>
      <c r="AF4" s="135">
        <f>EDATE('2) Assumptions'!$D$5,5)</f>
        <v>45078</v>
      </c>
      <c r="AG4" s="135">
        <f>EDATE('2) Assumptions'!$D$5,6)</f>
        <v>45108</v>
      </c>
      <c r="AH4" s="135">
        <f>EDATE('2) Assumptions'!$D$5,7)</f>
        <v>45139</v>
      </c>
      <c r="AI4" s="135">
        <f>EDATE('2) Assumptions'!$D$5,8)</f>
        <v>45170</v>
      </c>
      <c r="AJ4" s="135">
        <f>EDATE('2) Assumptions'!$D$5,9)</f>
        <v>45200</v>
      </c>
      <c r="AK4" s="135">
        <f>EDATE('2) Assumptions'!$D$5,10)</f>
        <v>45231</v>
      </c>
      <c r="AL4" s="135">
        <f>EDATE('2) Assumptions'!$D$5,11)</f>
        <v>45261</v>
      </c>
      <c r="AM4" s="135">
        <f>EDATE('2) Assumptions'!$D$5,0)</f>
        <v>44927</v>
      </c>
      <c r="AN4" s="135">
        <f>EDATE('2) Assumptions'!$D$5,1)</f>
        <v>44958</v>
      </c>
      <c r="AO4" s="135">
        <f>EDATE('2) Assumptions'!$D$5,2)</f>
        <v>44986</v>
      </c>
      <c r="AP4" s="135">
        <f>EDATE('2) Assumptions'!$D$5,3)</f>
        <v>45017</v>
      </c>
      <c r="AQ4" s="135">
        <f>EDATE('2) Assumptions'!$D$5,4)</f>
        <v>45047</v>
      </c>
      <c r="AR4" s="135">
        <f>EDATE('2) Assumptions'!$D$5,5)</f>
        <v>45078</v>
      </c>
      <c r="AS4" s="135">
        <f>EDATE('2) Assumptions'!$D$5,6)</f>
        <v>45108</v>
      </c>
      <c r="AT4" s="135">
        <f>EDATE('2) Assumptions'!$D$5,7)</f>
        <v>45139</v>
      </c>
      <c r="AU4" s="135">
        <f>EDATE('2) Assumptions'!$D$5,8)</f>
        <v>45170</v>
      </c>
      <c r="AV4" s="135">
        <f>EDATE('2) Assumptions'!$D$5,9)</f>
        <v>45200</v>
      </c>
      <c r="AW4" s="135">
        <f>EDATE('2) Assumptions'!$D$5,10)</f>
        <v>45231</v>
      </c>
      <c r="AX4" s="135">
        <f>EDATE('2) Assumptions'!$D$5,11)</f>
        <v>45261</v>
      </c>
      <c r="AY4" s="135">
        <f>EDATE('2) Assumptions'!$D$5,0)</f>
        <v>44927</v>
      </c>
      <c r="AZ4" s="135">
        <f>EDATE('2) Assumptions'!$D$5,1)</f>
        <v>44958</v>
      </c>
      <c r="BA4" s="135">
        <f>EDATE('2) Assumptions'!$D$5,2)</f>
        <v>44986</v>
      </c>
      <c r="BB4" s="135">
        <f>EDATE('2) Assumptions'!$D$5,3)</f>
        <v>45017</v>
      </c>
      <c r="BC4" s="135">
        <f>EDATE('2) Assumptions'!$D$5,4)</f>
        <v>45047</v>
      </c>
      <c r="BD4" s="135">
        <f>EDATE('2) Assumptions'!$D$5,5)</f>
        <v>45078</v>
      </c>
      <c r="BE4" s="135">
        <f>EDATE('2) Assumptions'!$D$5,6)</f>
        <v>45108</v>
      </c>
      <c r="BF4" s="135">
        <f>EDATE('2) Assumptions'!$D$5,7)</f>
        <v>45139</v>
      </c>
      <c r="BG4" s="135">
        <f>EDATE('2) Assumptions'!$D$5,8)</f>
        <v>45170</v>
      </c>
      <c r="BH4" s="135">
        <f>EDATE('2) Assumptions'!$D$5,9)</f>
        <v>45200</v>
      </c>
      <c r="BI4" s="135">
        <f>EDATE('2) Assumptions'!$D$5,10)</f>
        <v>45231</v>
      </c>
      <c r="BJ4" s="135">
        <f>EDATE('2) Assumptions'!$D$5,11)</f>
        <v>45261</v>
      </c>
      <c r="BK4" s="135">
        <f>EDATE('2) Assumptions'!$D$5,0)</f>
        <v>44927</v>
      </c>
      <c r="BL4" s="135">
        <f>EDATE('2) Assumptions'!$D$5,1)</f>
        <v>44958</v>
      </c>
      <c r="BM4" s="135">
        <f>EDATE('2) Assumptions'!$D$5,2)</f>
        <v>44986</v>
      </c>
      <c r="BN4" s="135">
        <f>EDATE('2) Assumptions'!$D$5,3)</f>
        <v>45017</v>
      </c>
      <c r="BO4" s="135">
        <f>EDATE('2) Assumptions'!$D$5,4)</f>
        <v>45047</v>
      </c>
      <c r="BP4" s="135">
        <f>EDATE('2) Assumptions'!$D$5,5)</f>
        <v>45078</v>
      </c>
      <c r="BQ4" s="135">
        <f>EDATE('2) Assumptions'!$D$5,6)</f>
        <v>45108</v>
      </c>
      <c r="BR4" s="135">
        <f>EDATE('2) Assumptions'!$D$5,7)</f>
        <v>45139</v>
      </c>
      <c r="BS4" s="135">
        <f>EDATE('2) Assumptions'!$D$5,8)</f>
        <v>45170</v>
      </c>
      <c r="BT4" s="135">
        <f>EDATE('2) Assumptions'!$D$5,9)</f>
        <v>45200</v>
      </c>
      <c r="BU4" s="135">
        <f>EDATE('2) Assumptions'!$D$5,10)</f>
        <v>45231</v>
      </c>
      <c r="BV4" s="135">
        <f>EDATE('2) Assumptions'!$D$5,11)</f>
        <v>45261</v>
      </c>
    </row>
    <row r="5" spans="1:74" s="10" customFormat="1" outlineLevel="1">
      <c r="D5" s="329"/>
      <c r="E5" s="329"/>
      <c r="F5" s="329"/>
      <c r="G5" s="383"/>
      <c r="I5" s="109" t="s">
        <v>307</v>
      </c>
      <c r="J5" s="384">
        <v>250000</v>
      </c>
      <c r="K5" s="60">
        <v>1</v>
      </c>
      <c r="L5" s="60">
        <v>1</v>
      </c>
      <c r="M5" s="60">
        <v>1</v>
      </c>
      <c r="N5" s="60">
        <v>1</v>
      </c>
      <c r="O5" s="22">
        <f>J5</f>
        <v>250000</v>
      </c>
      <c r="P5" s="20">
        <f>O5</f>
        <v>250000</v>
      </c>
      <c r="Q5" s="20">
        <f t="shared" ref="Q5:BV9" si="2">P5</f>
        <v>250000</v>
      </c>
      <c r="R5" s="20">
        <f t="shared" si="2"/>
        <v>250000</v>
      </c>
      <c r="S5" s="20">
        <f t="shared" si="2"/>
        <v>250000</v>
      </c>
      <c r="T5" s="20">
        <f t="shared" si="2"/>
        <v>250000</v>
      </c>
      <c r="U5" s="20">
        <f t="shared" si="2"/>
        <v>250000</v>
      </c>
      <c r="V5" s="20">
        <f t="shared" si="2"/>
        <v>250000</v>
      </c>
      <c r="W5" s="20">
        <f t="shared" si="2"/>
        <v>250000</v>
      </c>
      <c r="X5" s="20">
        <f t="shared" si="2"/>
        <v>250000</v>
      </c>
      <c r="Y5" s="20">
        <f t="shared" si="2"/>
        <v>250000</v>
      </c>
      <c r="Z5" s="20">
        <f t="shared" si="2"/>
        <v>250000</v>
      </c>
      <c r="AA5" s="20">
        <f>Z5*(1+$K5)</f>
        <v>500000</v>
      </c>
      <c r="AB5" s="20">
        <f t="shared" si="2"/>
        <v>500000</v>
      </c>
      <c r="AC5" s="20">
        <f t="shared" si="2"/>
        <v>500000</v>
      </c>
      <c r="AD5" s="20">
        <f t="shared" si="2"/>
        <v>500000</v>
      </c>
      <c r="AE5" s="20">
        <f t="shared" si="2"/>
        <v>500000</v>
      </c>
      <c r="AF5" s="20">
        <f t="shared" si="2"/>
        <v>500000</v>
      </c>
      <c r="AG5" s="20">
        <f t="shared" si="2"/>
        <v>500000</v>
      </c>
      <c r="AH5" s="20">
        <f t="shared" si="2"/>
        <v>500000</v>
      </c>
      <c r="AI5" s="20">
        <f t="shared" si="2"/>
        <v>500000</v>
      </c>
      <c r="AJ5" s="20">
        <f t="shared" si="2"/>
        <v>500000</v>
      </c>
      <c r="AK5" s="20">
        <f t="shared" si="2"/>
        <v>500000</v>
      </c>
      <c r="AL5" s="20">
        <f t="shared" si="2"/>
        <v>500000</v>
      </c>
      <c r="AM5" s="20">
        <f>AL5*(1+$L5)</f>
        <v>1000000</v>
      </c>
      <c r="AN5" s="20">
        <f t="shared" si="2"/>
        <v>1000000</v>
      </c>
      <c r="AO5" s="20">
        <f t="shared" si="2"/>
        <v>1000000</v>
      </c>
      <c r="AP5" s="20">
        <f t="shared" si="2"/>
        <v>1000000</v>
      </c>
      <c r="AQ5" s="20">
        <f t="shared" si="2"/>
        <v>1000000</v>
      </c>
      <c r="AR5" s="20">
        <f t="shared" si="2"/>
        <v>1000000</v>
      </c>
      <c r="AS5" s="20">
        <f t="shared" si="2"/>
        <v>1000000</v>
      </c>
      <c r="AT5" s="20">
        <f t="shared" si="2"/>
        <v>1000000</v>
      </c>
      <c r="AU5" s="20">
        <f t="shared" si="2"/>
        <v>1000000</v>
      </c>
      <c r="AV5" s="20">
        <f t="shared" si="2"/>
        <v>1000000</v>
      </c>
      <c r="AW5" s="20">
        <f t="shared" si="2"/>
        <v>1000000</v>
      </c>
      <c r="AX5" s="20">
        <f t="shared" si="2"/>
        <v>1000000</v>
      </c>
      <c r="AY5" s="20">
        <f>AX5*(1+$M5)</f>
        <v>2000000</v>
      </c>
      <c r="AZ5" s="20">
        <f t="shared" si="2"/>
        <v>2000000</v>
      </c>
      <c r="BA5" s="20">
        <f t="shared" si="2"/>
        <v>2000000</v>
      </c>
      <c r="BB5" s="20">
        <f t="shared" si="2"/>
        <v>2000000</v>
      </c>
      <c r="BC5" s="20">
        <f t="shared" si="2"/>
        <v>2000000</v>
      </c>
      <c r="BD5" s="20">
        <f t="shared" si="2"/>
        <v>2000000</v>
      </c>
      <c r="BE5" s="20">
        <f t="shared" si="2"/>
        <v>2000000</v>
      </c>
      <c r="BF5" s="20">
        <f t="shared" si="2"/>
        <v>2000000</v>
      </c>
      <c r="BG5" s="20">
        <f t="shared" si="2"/>
        <v>2000000</v>
      </c>
      <c r="BH5" s="20">
        <f t="shared" si="2"/>
        <v>2000000</v>
      </c>
      <c r="BI5" s="20">
        <f t="shared" si="2"/>
        <v>2000000</v>
      </c>
      <c r="BJ5" s="20">
        <f t="shared" si="2"/>
        <v>2000000</v>
      </c>
      <c r="BK5" s="20">
        <f>BJ5*(1+$N5)</f>
        <v>4000000</v>
      </c>
      <c r="BL5" s="20">
        <f t="shared" si="2"/>
        <v>4000000</v>
      </c>
      <c r="BM5" s="20">
        <f t="shared" si="2"/>
        <v>4000000</v>
      </c>
      <c r="BN5" s="20">
        <f t="shared" si="2"/>
        <v>4000000</v>
      </c>
      <c r="BO5" s="20">
        <f t="shared" si="2"/>
        <v>4000000</v>
      </c>
      <c r="BP5" s="20">
        <f t="shared" si="2"/>
        <v>4000000</v>
      </c>
      <c r="BQ5" s="20">
        <f t="shared" si="2"/>
        <v>4000000</v>
      </c>
      <c r="BR5" s="20">
        <f t="shared" si="2"/>
        <v>4000000</v>
      </c>
      <c r="BS5" s="20">
        <f t="shared" si="2"/>
        <v>4000000</v>
      </c>
      <c r="BT5" s="20">
        <f t="shared" si="2"/>
        <v>4000000</v>
      </c>
      <c r="BU5" s="20">
        <f t="shared" si="2"/>
        <v>4000000</v>
      </c>
      <c r="BV5" s="20">
        <f t="shared" si="2"/>
        <v>4000000</v>
      </c>
    </row>
    <row r="6" spans="1:74" s="10" customFormat="1" outlineLevel="1">
      <c r="D6" s="329"/>
      <c r="E6" s="329"/>
      <c r="F6" s="329"/>
      <c r="G6" s="383"/>
      <c r="I6" s="109" t="s">
        <v>308</v>
      </c>
      <c r="J6" s="384">
        <v>50000</v>
      </c>
      <c r="K6" s="60">
        <v>0.75</v>
      </c>
      <c r="L6" s="60">
        <v>0.75</v>
      </c>
      <c r="M6" s="60">
        <v>0.75</v>
      </c>
      <c r="N6" s="60">
        <v>0.75</v>
      </c>
      <c r="O6" s="22">
        <f t="shared" ref="O6:O18" si="3">J6</f>
        <v>50000</v>
      </c>
      <c r="P6" s="20">
        <f t="shared" ref="P6:AE18" si="4">O6</f>
        <v>50000</v>
      </c>
      <c r="Q6" s="20">
        <f t="shared" si="4"/>
        <v>50000</v>
      </c>
      <c r="R6" s="20">
        <f t="shared" si="4"/>
        <v>50000</v>
      </c>
      <c r="S6" s="20">
        <f t="shared" si="4"/>
        <v>50000</v>
      </c>
      <c r="T6" s="20">
        <f t="shared" si="4"/>
        <v>50000</v>
      </c>
      <c r="U6" s="20">
        <f t="shared" si="4"/>
        <v>50000</v>
      </c>
      <c r="V6" s="20">
        <f t="shared" si="4"/>
        <v>50000</v>
      </c>
      <c r="W6" s="20">
        <f t="shared" si="4"/>
        <v>50000</v>
      </c>
      <c r="X6" s="20">
        <f t="shared" si="4"/>
        <v>50000</v>
      </c>
      <c r="Y6" s="20">
        <f t="shared" si="4"/>
        <v>50000</v>
      </c>
      <c r="Z6" s="20">
        <f t="shared" si="4"/>
        <v>50000</v>
      </c>
      <c r="AA6" s="20">
        <f t="shared" ref="AA6:AA18" si="5">Z6*(1+$K6)</f>
        <v>87500</v>
      </c>
      <c r="AB6" s="20">
        <f t="shared" si="4"/>
        <v>87500</v>
      </c>
      <c r="AC6" s="20">
        <f t="shared" si="4"/>
        <v>87500</v>
      </c>
      <c r="AD6" s="20">
        <f t="shared" si="4"/>
        <v>87500</v>
      </c>
      <c r="AE6" s="20">
        <f t="shared" si="4"/>
        <v>87500</v>
      </c>
      <c r="AF6" s="20">
        <f t="shared" si="2"/>
        <v>87500</v>
      </c>
      <c r="AG6" s="20">
        <f t="shared" si="2"/>
        <v>87500</v>
      </c>
      <c r="AH6" s="20">
        <f t="shared" si="2"/>
        <v>87500</v>
      </c>
      <c r="AI6" s="20">
        <f t="shared" si="2"/>
        <v>87500</v>
      </c>
      <c r="AJ6" s="20">
        <f t="shared" si="2"/>
        <v>87500</v>
      </c>
      <c r="AK6" s="20">
        <f t="shared" si="2"/>
        <v>87500</v>
      </c>
      <c r="AL6" s="20">
        <f t="shared" si="2"/>
        <v>87500</v>
      </c>
      <c r="AM6" s="20">
        <f t="shared" ref="AM6:AM18" si="6">AL6*(1+$L6)</f>
        <v>153125</v>
      </c>
      <c r="AN6" s="20">
        <f t="shared" si="2"/>
        <v>153125</v>
      </c>
      <c r="AO6" s="20">
        <f t="shared" si="2"/>
        <v>153125</v>
      </c>
      <c r="AP6" s="20">
        <f t="shared" si="2"/>
        <v>153125</v>
      </c>
      <c r="AQ6" s="20">
        <f t="shared" si="2"/>
        <v>153125</v>
      </c>
      <c r="AR6" s="20">
        <f t="shared" si="2"/>
        <v>153125</v>
      </c>
      <c r="AS6" s="20">
        <f t="shared" si="2"/>
        <v>153125</v>
      </c>
      <c r="AT6" s="20">
        <f t="shared" si="2"/>
        <v>153125</v>
      </c>
      <c r="AU6" s="20">
        <f t="shared" si="2"/>
        <v>153125</v>
      </c>
      <c r="AV6" s="20">
        <f t="shared" si="2"/>
        <v>153125</v>
      </c>
      <c r="AW6" s="20">
        <f t="shared" si="2"/>
        <v>153125</v>
      </c>
      <c r="AX6" s="20">
        <f t="shared" si="2"/>
        <v>153125</v>
      </c>
      <c r="AY6" s="20">
        <f t="shared" ref="AY6:AY18" si="7">AX6*(1+$M6)</f>
        <v>267968.75</v>
      </c>
      <c r="AZ6" s="20">
        <f t="shared" si="2"/>
        <v>267968.75</v>
      </c>
      <c r="BA6" s="20">
        <f t="shared" si="2"/>
        <v>267968.75</v>
      </c>
      <c r="BB6" s="20">
        <f t="shared" si="2"/>
        <v>267968.75</v>
      </c>
      <c r="BC6" s="20">
        <f t="shared" si="2"/>
        <v>267968.75</v>
      </c>
      <c r="BD6" s="20">
        <f t="shared" si="2"/>
        <v>267968.75</v>
      </c>
      <c r="BE6" s="20">
        <f t="shared" si="2"/>
        <v>267968.75</v>
      </c>
      <c r="BF6" s="20">
        <f t="shared" si="2"/>
        <v>267968.75</v>
      </c>
      <c r="BG6" s="20">
        <f t="shared" si="2"/>
        <v>267968.75</v>
      </c>
      <c r="BH6" s="20">
        <f t="shared" si="2"/>
        <v>267968.75</v>
      </c>
      <c r="BI6" s="20">
        <f t="shared" si="2"/>
        <v>267968.75</v>
      </c>
      <c r="BJ6" s="20">
        <f t="shared" si="2"/>
        <v>267968.75</v>
      </c>
      <c r="BK6" s="20">
        <f t="shared" ref="BK6:BK18" si="8">BJ6*(1+$N6)</f>
        <v>468945.3125</v>
      </c>
      <c r="BL6" s="20">
        <f t="shared" si="2"/>
        <v>468945.3125</v>
      </c>
      <c r="BM6" s="20">
        <f t="shared" si="2"/>
        <v>468945.3125</v>
      </c>
      <c r="BN6" s="20">
        <f t="shared" si="2"/>
        <v>468945.3125</v>
      </c>
      <c r="BO6" s="20">
        <f t="shared" si="2"/>
        <v>468945.3125</v>
      </c>
      <c r="BP6" s="20">
        <f t="shared" si="2"/>
        <v>468945.3125</v>
      </c>
      <c r="BQ6" s="20">
        <f t="shared" si="2"/>
        <v>468945.3125</v>
      </c>
      <c r="BR6" s="20">
        <f t="shared" si="2"/>
        <v>468945.3125</v>
      </c>
      <c r="BS6" s="20">
        <f t="shared" si="2"/>
        <v>468945.3125</v>
      </c>
      <c r="BT6" s="20">
        <f t="shared" si="2"/>
        <v>468945.3125</v>
      </c>
      <c r="BU6" s="20">
        <f t="shared" si="2"/>
        <v>468945.3125</v>
      </c>
      <c r="BV6" s="20">
        <f t="shared" si="2"/>
        <v>468945.3125</v>
      </c>
    </row>
    <row r="7" spans="1:74" s="10" customFormat="1" outlineLevel="1">
      <c r="D7" s="329"/>
      <c r="E7" s="329"/>
      <c r="F7" s="329"/>
      <c r="G7" s="383"/>
      <c r="I7" s="109" t="s">
        <v>309</v>
      </c>
      <c r="J7" s="384">
        <v>35000</v>
      </c>
      <c r="K7" s="60">
        <v>1</v>
      </c>
      <c r="L7" s="60">
        <v>1</v>
      </c>
      <c r="M7" s="60">
        <v>1</v>
      </c>
      <c r="N7" s="60">
        <v>1</v>
      </c>
      <c r="O7" s="22">
        <f t="shared" si="3"/>
        <v>35000</v>
      </c>
      <c r="P7" s="20">
        <f t="shared" si="4"/>
        <v>35000</v>
      </c>
      <c r="Q7" s="20">
        <f t="shared" si="2"/>
        <v>35000</v>
      </c>
      <c r="R7" s="20">
        <f t="shared" si="2"/>
        <v>35000</v>
      </c>
      <c r="S7" s="20">
        <f t="shared" si="2"/>
        <v>35000</v>
      </c>
      <c r="T7" s="20">
        <f t="shared" si="2"/>
        <v>35000</v>
      </c>
      <c r="U7" s="20">
        <f t="shared" si="2"/>
        <v>35000</v>
      </c>
      <c r="V7" s="20">
        <f t="shared" si="2"/>
        <v>35000</v>
      </c>
      <c r="W7" s="20">
        <f t="shared" si="2"/>
        <v>35000</v>
      </c>
      <c r="X7" s="20">
        <f t="shared" si="2"/>
        <v>35000</v>
      </c>
      <c r="Y7" s="20">
        <f t="shared" si="2"/>
        <v>35000</v>
      </c>
      <c r="Z7" s="20">
        <f t="shared" si="2"/>
        <v>35000</v>
      </c>
      <c r="AA7" s="20">
        <f t="shared" si="5"/>
        <v>70000</v>
      </c>
      <c r="AB7" s="20">
        <f t="shared" si="2"/>
        <v>70000</v>
      </c>
      <c r="AC7" s="20">
        <f t="shared" si="2"/>
        <v>70000</v>
      </c>
      <c r="AD7" s="20">
        <f t="shared" si="2"/>
        <v>70000</v>
      </c>
      <c r="AE7" s="20">
        <f t="shared" si="2"/>
        <v>70000</v>
      </c>
      <c r="AF7" s="20">
        <f t="shared" si="2"/>
        <v>70000</v>
      </c>
      <c r="AG7" s="20">
        <f t="shared" si="2"/>
        <v>70000</v>
      </c>
      <c r="AH7" s="20">
        <f t="shared" si="2"/>
        <v>70000</v>
      </c>
      <c r="AI7" s="20">
        <f t="shared" si="2"/>
        <v>70000</v>
      </c>
      <c r="AJ7" s="20">
        <f t="shared" si="2"/>
        <v>70000</v>
      </c>
      <c r="AK7" s="20">
        <f t="shared" si="2"/>
        <v>70000</v>
      </c>
      <c r="AL7" s="20">
        <f t="shared" si="2"/>
        <v>70000</v>
      </c>
      <c r="AM7" s="20">
        <f t="shared" si="6"/>
        <v>140000</v>
      </c>
      <c r="AN7" s="20">
        <f t="shared" si="2"/>
        <v>140000</v>
      </c>
      <c r="AO7" s="20">
        <f t="shared" si="2"/>
        <v>140000</v>
      </c>
      <c r="AP7" s="20">
        <f t="shared" si="2"/>
        <v>140000</v>
      </c>
      <c r="AQ7" s="20">
        <f t="shared" si="2"/>
        <v>140000</v>
      </c>
      <c r="AR7" s="20">
        <f t="shared" si="2"/>
        <v>140000</v>
      </c>
      <c r="AS7" s="20">
        <f t="shared" si="2"/>
        <v>140000</v>
      </c>
      <c r="AT7" s="20">
        <f t="shared" si="2"/>
        <v>140000</v>
      </c>
      <c r="AU7" s="20">
        <f t="shared" si="2"/>
        <v>140000</v>
      </c>
      <c r="AV7" s="20">
        <f t="shared" si="2"/>
        <v>140000</v>
      </c>
      <c r="AW7" s="20">
        <f t="shared" si="2"/>
        <v>140000</v>
      </c>
      <c r="AX7" s="20">
        <f t="shared" si="2"/>
        <v>140000</v>
      </c>
      <c r="AY7" s="20">
        <f t="shared" si="7"/>
        <v>280000</v>
      </c>
      <c r="AZ7" s="20">
        <f t="shared" si="2"/>
        <v>280000</v>
      </c>
      <c r="BA7" s="20">
        <f t="shared" si="2"/>
        <v>280000</v>
      </c>
      <c r="BB7" s="20">
        <f t="shared" si="2"/>
        <v>280000</v>
      </c>
      <c r="BC7" s="20">
        <f t="shared" si="2"/>
        <v>280000</v>
      </c>
      <c r="BD7" s="20">
        <f t="shared" si="2"/>
        <v>280000</v>
      </c>
      <c r="BE7" s="20">
        <f t="shared" si="2"/>
        <v>280000</v>
      </c>
      <c r="BF7" s="20">
        <f t="shared" si="2"/>
        <v>280000</v>
      </c>
      <c r="BG7" s="20">
        <f t="shared" si="2"/>
        <v>280000</v>
      </c>
      <c r="BH7" s="20">
        <f t="shared" si="2"/>
        <v>280000</v>
      </c>
      <c r="BI7" s="20">
        <f t="shared" si="2"/>
        <v>280000</v>
      </c>
      <c r="BJ7" s="20">
        <f t="shared" si="2"/>
        <v>280000</v>
      </c>
      <c r="BK7" s="20">
        <f t="shared" si="8"/>
        <v>560000</v>
      </c>
      <c r="BL7" s="20">
        <f t="shared" si="2"/>
        <v>560000</v>
      </c>
      <c r="BM7" s="20">
        <f t="shared" si="2"/>
        <v>560000</v>
      </c>
      <c r="BN7" s="20">
        <f t="shared" si="2"/>
        <v>560000</v>
      </c>
      <c r="BO7" s="20">
        <f t="shared" si="2"/>
        <v>560000</v>
      </c>
      <c r="BP7" s="20">
        <f t="shared" si="2"/>
        <v>560000</v>
      </c>
      <c r="BQ7" s="20">
        <f t="shared" si="2"/>
        <v>560000</v>
      </c>
      <c r="BR7" s="20">
        <f t="shared" si="2"/>
        <v>560000</v>
      </c>
      <c r="BS7" s="20">
        <f t="shared" si="2"/>
        <v>560000</v>
      </c>
      <c r="BT7" s="20">
        <f t="shared" si="2"/>
        <v>560000</v>
      </c>
      <c r="BU7" s="20">
        <f t="shared" si="2"/>
        <v>560000</v>
      </c>
      <c r="BV7" s="20">
        <f t="shared" si="2"/>
        <v>560000</v>
      </c>
    </row>
    <row r="8" spans="1:74" s="10" customFormat="1" outlineLevel="1">
      <c r="B8" s="62"/>
      <c r="C8" s="382"/>
      <c r="D8" s="329"/>
      <c r="E8" s="329"/>
      <c r="F8" s="329"/>
      <c r="G8" s="383"/>
      <c r="I8" s="109" t="s">
        <v>310</v>
      </c>
      <c r="J8" s="384">
        <v>7500</v>
      </c>
      <c r="K8" s="60">
        <v>0.25</v>
      </c>
      <c r="L8" s="60">
        <v>0.25</v>
      </c>
      <c r="M8" s="60">
        <v>0.25</v>
      </c>
      <c r="N8" s="60">
        <v>0.25</v>
      </c>
      <c r="O8" s="22">
        <f t="shared" si="3"/>
        <v>7500</v>
      </c>
      <c r="P8" s="20">
        <f t="shared" si="4"/>
        <v>7500</v>
      </c>
      <c r="Q8" s="20">
        <f t="shared" si="2"/>
        <v>7500</v>
      </c>
      <c r="R8" s="20">
        <f t="shared" si="2"/>
        <v>7500</v>
      </c>
      <c r="S8" s="20">
        <f t="shared" si="2"/>
        <v>7500</v>
      </c>
      <c r="T8" s="20">
        <f t="shared" si="2"/>
        <v>7500</v>
      </c>
      <c r="U8" s="20">
        <f t="shared" si="2"/>
        <v>7500</v>
      </c>
      <c r="V8" s="20">
        <f t="shared" si="2"/>
        <v>7500</v>
      </c>
      <c r="W8" s="20">
        <f t="shared" si="2"/>
        <v>7500</v>
      </c>
      <c r="X8" s="20">
        <f t="shared" si="2"/>
        <v>7500</v>
      </c>
      <c r="Y8" s="20">
        <f t="shared" si="2"/>
        <v>7500</v>
      </c>
      <c r="Z8" s="20">
        <f t="shared" si="2"/>
        <v>7500</v>
      </c>
      <c r="AA8" s="20">
        <f t="shared" si="5"/>
        <v>9375</v>
      </c>
      <c r="AB8" s="20">
        <f t="shared" si="2"/>
        <v>9375</v>
      </c>
      <c r="AC8" s="20">
        <f t="shared" si="2"/>
        <v>9375</v>
      </c>
      <c r="AD8" s="20">
        <f t="shared" si="2"/>
        <v>9375</v>
      </c>
      <c r="AE8" s="20">
        <f t="shared" si="2"/>
        <v>9375</v>
      </c>
      <c r="AF8" s="20">
        <f t="shared" si="2"/>
        <v>9375</v>
      </c>
      <c r="AG8" s="20">
        <f t="shared" si="2"/>
        <v>9375</v>
      </c>
      <c r="AH8" s="20">
        <f t="shared" si="2"/>
        <v>9375</v>
      </c>
      <c r="AI8" s="20">
        <f t="shared" si="2"/>
        <v>9375</v>
      </c>
      <c r="AJ8" s="20">
        <f t="shared" si="2"/>
        <v>9375</v>
      </c>
      <c r="AK8" s="20">
        <f t="shared" si="2"/>
        <v>9375</v>
      </c>
      <c r="AL8" s="20">
        <f t="shared" si="2"/>
        <v>9375</v>
      </c>
      <c r="AM8" s="20">
        <f t="shared" si="6"/>
        <v>11718.75</v>
      </c>
      <c r="AN8" s="20">
        <f t="shared" si="2"/>
        <v>11718.75</v>
      </c>
      <c r="AO8" s="20">
        <f t="shared" si="2"/>
        <v>11718.75</v>
      </c>
      <c r="AP8" s="20">
        <f t="shared" si="2"/>
        <v>11718.75</v>
      </c>
      <c r="AQ8" s="20">
        <f t="shared" si="2"/>
        <v>11718.75</v>
      </c>
      <c r="AR8" s="20">
        <f t="shared" si="2"/>
        <v>11718.75</v>
      </c>
      <c r="AS8" s="20">
        <f t="shared" si="2"/>
        <v>11718.75</v>
      </c>
      <c r="AT8" s="20">
        <f t="shared" si="2"/>
        <v>11718.75</v>
      </c>
      <c r="AU8" s="20">
        <f t="shared" si="2"/>
        <v>11718.75</v>
      </c>
      <c r="AV8" s="20">
        <f t="shared" si="2"/>
        <v>11718.75</v>
      </c>
      <c r="AW8" s="20">
        <f t="shared" si="2"/>
        <v>11718.75</v>
      </c>
      <c r="AX8" s="20">
        <f t="shared" si="2"/>
        <v>11718.75</v>
      </c>
      <c r="AY8" s="20">
        <f t="shared" si="7"/>
        <v>14648.4375</v>
      </c>
      <c r="AZ8" s="20">
        <f t="shared" si="2"/>
        <v>14648.4375</v>
      </c>
      <c r="BA8" s="20">
        <f t="shared" si="2"/>
        <v>14648.4375</v>
      </c>
      <c r="BB8" s="20">
        <f t="shared" si="2"/>
        <v>14648.4375</v>
      </c>
      <c r="BC8" s="20">
        <f t="shared" si="2"/>
        <v>14648.4375</v>
      </c>
      <c r="BD8" s="20">
        <f t="shared" si="2"/>
        <v>14648.4375</v>
      </c>
      <c r="BE8" s="20">
        <f t="shared" si="2"/>
        <v>14648.4375</v>
      </c>
      <c r="BF8" s="20">
        <f t="shared" si="2"/>
        <v>14648.4375</v>
      </c>
      <c r="BG8" s="20">
        <f t="shared" si="2"/>
        <v>14648.4375</v>
      </c>
      <c r="BH8" s="20">
        <f t="shared" si="2"/>
        <v>14648.4375</v>
      </c>
      <c r="BI8" s="20">
        <f t="shared" si="2"/>
        <v>14648.4375</v>
      </c>
      <c r="BJ8" s="20">
        <f t="shared" si="2"/>
        <v>14648.4375</v>
      </c>
      <c r="BK8" s="20">
        <f t="shared" si="8"/>
        <v>18310.546875</v>
      </c>
      <c r="BL8" s="20">
        <f t="shared" si="2"/>
        <v>18310.546875</v>
      </c>
      <c r="BM8" s="20">
        <f t="shared" si="2"/>
        <v>18310.546875</v>
      </c>
      <c r="BN8" s="20">
        <f t="shared" si="2"/>
        <v>18310.546875</v>
      </c>
      <c r="BO8" s="20">
        <f t="shared" si="2"/>
        <v>18310.546875</v>
      </c>
      <c r="BP8" s="20">
        <f t="shared" si="2"/>
        <v>18310.546875</v>
      </c>
      <c r="BQ8" s="20">
        <f t="shared" si="2"/>
        <v>18310.546875</v>
      </c>
      <c r="BR8" s="20">
        <f t="shared" si="2"/>
        <v>18310.546875</v>
      </c>
      <c r="BS8" s="20">
        <f t="shared" si="2"/>
        <v>18310.546875</v>
      </c>
      <c r="BT8" s="20">
        <f t="shared" si="2"/>
        <v>18310.546875</v>
      </c>
      <c r="BU8" s="20">
        <f t="shared" si="2"/>
        <v>18310.546875</v>
      </c>
      <c r="BV8" s="20">
        <f t="shared" si="2"/>
        <v>18310.546875</v>
      </c>
    </row>
    <row r="9" spans="1:74" s="10" customFormat="1" outlineLevel="1">
      <c r="B9" s="358"/>
      <c r="I9" s="109" t="s">
        <v>311</v>
      </c>
      <c r="J9" s="384">
        <v>175000</v>
      </c>
      <c r="K9" s="60">
        <v>0.25</v>
      </c>
      <c r="L9" s="60">
        <v>0.25</v>
      </c>
      <c r="M9" s="60">
        <v>0.25</v>
      </c>
      <c r="N9" s="60">
        <v>0.25</v>
      </c>
      <c r="O9" s="22">
        <f t="shared" si="3"/>
        <v>175000</v>
      </c>
      <c r="P9" s="20">
        <f t="shared" si="4"/>
        <v>175000</v>
      </c>
      <c r="Q9" s="20">
        <f t="shared" si="2"/>
        <v>175000</v>
      </c>
      <c r="R9" s="20">
        <f t="shared" si="2"/>
        <v>175000</v>
      </c>
      <c r="S9" s="20">
        <f t="shared" si="2"/>
        <v>175000</v>
      </c>
      <c r="T9" s="20">
        <f t="shared" si="2"/>
        <v>175000</v>
      </c>
      <c r="U9" s="20">
        <f t="shared" si="2"/>
        <v>175000</v>
      </c>
      <c r="V9" s="20">
        <f t="shared" si="2"/>
        <v>175000</v>
      </c>
      <c r="W9" s="20">
        <f t="shared" si="2"/>
        <v>175000</v>
      </c>
      <c r="X9" s="20">
        <f t="shared" si="2"/>
        <v>175000</v>
      </c>
      <c r="Y9" s="20">
        <f t="shared" si="2"/>
        <v>175000</v>
      </c>
      <c r="Z9" s="20">
        <f t="shared" si="2"/>
        <v>175000</v>
      </c>
      <c r="AA9" s="20">
        <f t="shared" si="5"/>
        <v>218750</v>
      </c>
      <c r="AB9" s="20">
        <f t="shared" si="2"/>
        <v>218750</v>
      </c>
      <c r="AC9" s="20">
        <f t="shared" si="2"/>
        <v>218750</v>
      </c>
      <c r="AD9" s="20">
        <f t="shared" si="2"/>
        <v>218750</v>
      </c>
      <c r="AE9" s="20">
        <f t="shared" si="2"/>
        <v>218750</v>
      </c>
      <c r="AF9" s="20">
        <f t="shared" si="2"/>
        <v>218750</v>
      </c>
      <c r="AG9" s="20">
        <f t="shared" si="2"/>
        <v>218750</v>
      </c>
      <c r="AH9" s="20">
        <f t="shared" si="2"/>
        <v>218750</v>
      </c>
      <c r="AI9" s="20">
        <f t="shared" si="2"/>
        <v>218750</v>
      </c>
      <c r="AJ9" s="20">
        <f t="shared" si="2"/>
        <v>218750</v>
      </c>
      <c r="AK9" s="20">
        <f t="shared" si="2"/>
        <v>218750</v>
      </c>
      <c r="AL9" s="20">
        <f t="shared" si="2"/>
        <v>218750</v>
      </c>
      <c r="AM9" s="20">
        <f t="shared" si="6"/>
        <v>273437.5</v>
      </c>
      <c r="AN9" s="20">
        <f t="shared" si="2"/>
        <v>273437.5</v>
      </c>
      <c r="AO9" s="20">
        <f t="shared" si="2"/>
        <v>273437.5</v>
      </c>
      <c r="AP9" s="20">
        <f t="shared" si="2"/>
        <v>273437.5</v>
      </c>
      <c r="AQ9" s="20">
        <f t="shared" si="2"/>
        <v>273437.5</v>
      </c>
      <c r="AR9" s="20">
        <f t="shared" si="2"/>
        <v>273437.5</v>
      </c>
      <c r="AS9" s="20">
        <f t="shared" si="2"/>
        <v>273437.5</v>
      </c>
      <c r="AT9" s="20">
        <f t="shared" si="2"/>
        <v>273437.5</v>
      </c>
      <c r="AU9" s="20">
        <f t="shared" si="2"/>
        <v>273437.5</v>
      </c>
      <c r="AV9" s="20">
        <f t="shared" si="2"/>
        <v>273437.5</v>
      </c>
      <c r="AW9" s="20">
        <f t="shared" si="2"/>
        <v>273437.5</v>
      </c>
      <c r="AX9" s="20">
        <f t="shared" si="2"/>
        <v>273437.5</v>
      </c>
      <c r="AY9" s="20">
        <f t="shared" si="7"/>
        <v>341796.875</v>
      </c>
      <c r="AZ9" s="20">
        <f t="shared" si="2"/>
        <v>341796.875</v>
      </c>
      <c r="BA9" s="20">
        <f t="shared" si="2"/>
        <v>341796.875</v>
      </c>
      <c r="BB9" s="20">
        <f t="shared" si="2"/>
        <v>341796.875</v>
      </c>
      <c r="BC9" s="20">
        <f t="shared" ref="Q9:BV14" si="9">BB9</f>
        <v>341796.875</v>
      </c>
      <c r="BD9" s="20">
        <f t="shared" si="9"/>
        <v>341796.875</v>
      </c>
      <c r="BE9" s="20">
        <f t="shared" si="9"/>
        <v>341796.875</v>
      </c>
      <c r="BF9" s="20">
        <f t="shared" si="9"/>
        <v>341796.875</v>
      </c>
      <c r="BG9" s="20">
        <f t="shared" si="9"/>
        <v>341796.875</v>
      </c>
      <c r="BH9" s="20">
        <f t="shared" si="9"/>
        <v>341796.875</v>
      </c>
      <c r="BI9" s="20">
        <f t="shared" si="9"/>
        <v>341796.875</v>
      </c>
      <c r="BJ9" s="20">
        <f t="shared" si="9"/>
        <v>341796.875</v>
      </c>
      <c r="BK9" s="20">
        <f t="shared" si="8"/>
        <v>427246.09375</v>
      </c>
      <c r="BL9" s="20">
        <f t="shared" si="9"/>
        <v>427246.09375</v>
      </c>
      <c r="BM9" s="20">
        <f t="shared" si="9"/>
        <v>427246.09375</v>
      </c>
      <c r="BN9" s="20">
        <f t="shared" si="9"/>
        <v>427246.09375</v>
      </c>
      <c r="BO9" s="20">
        <f t="shared" si="9"/>
        <v>427246.09375</v>
      </c>
      <c r="BP9" s="20">
        <f t="shared" si="9"/>
        <v>427246.09375</v>
      </c>
      <c r="BQ9" s="20">
        <f t="shared" si="9"/>
        <v>427246.09375</v>
      </c>
      <c r="BR9" s="20">
        <f t="shared" si="9"/>
        <v>427246.09375</v>
      </c>
      <c r="BS9" s="20">
        <f t="shared" si="9"/>
        <v>427246.09375</v>
      </c>
      <c r="BT9" s="20">
        <f t="shared" si="9"/>
        <v>427246.09375</v>
      </c>
      <c r="BU9" s="20">
        <f t="shared" si="9"/>
        <v>427246.09375</v>
      </c>
      <c r="BV9" s="20">
        <f t="shared" si="9"/>
        <v>427246.09375</v>
      </c>
    </row>
    <row r="10" spans="1:74" s="10" customFormat="1" hidden="1" outlineLevel="1">
      <c r="B10" s="358"/>
      <c r="I10" s="109"/>
      <c r="J10" s="384"/>
      <c r="K10" s="60"/>
      <c r="L10" s="60"/>
      <c r="M10" s="60"/>
      <c r="N10" s="60"/>
      <c r="O10" s="22">
        <f t="shared" si="3"/>
        <v>0</v>
      </c>
      <c r="P10" s="20">
        <f t="shared" si="4"/>
        <v>0</v>
      </c>
      <c r="Q10" s="20">
        <f t="shared" si="9"/>
        <v>0</v>
      </c>
      <c r="R10" s="20">
        <f t="shared" si="9"/>
        <v>0</v>
      </c>
      <c r="S10" s="20">
        <f t="shared" si="9"/>
        <v>0</v>
      </c>
      <c r="T10" s="20">
        <f t="shared" si="9"/>
        <v>0</v>
      </c>
      <c r="U10" s="20">
        <f t="shared" si="9"/>
        <v>0</v>
      </c>
      <c r="V10" s="20">
        <f t="shared" si="9"/>
        <v>0</v>
      </c>
      <c r="W10" s="20">
        <f t="shared" si="9"/>
        <v>0</v>
      </c>
      <c r="X10" s="20">
        <f t="shared" si="9"/>
        <v>0</v>
      </c>
      <c r="Y10" s="20">
        <f t="shared" si="9"/>
        <v>0</v>
      </c>
      <c r="Z10" s="20">
        <f t="shared" si="9"/>
        <v>0</v>
      </c>
      <c r="AA10" s="20">
        <f t="shared" si="5"/>
        <v>0</v>
      </c>
      <c r="AB10" s="20">
        <f t="shared" si="9"/>
        <v>0</v>
      </c>
      <c r="AC10" s="20">
        <f t="shared" si="9"/>
        <v>0</v>
      </c>
      <c r="AD10" s="20">
        <f t="shared" si="9"/>
        <v>0</v>
      </c>
      <c r="AE10" s="20">
        <f t="shared" si="9"/>
        <v>0</v>
      </c>
      <c r="AF10" s="20">
        <f t="shared" si="9"/>
        <v>0</v>
      </c>
      <c r="AG10" s="20">
        <f t="shared" si="9"/>
        <v>0</v>
      </c>
      <c r="AH10" s="20">
        <f t="shared" si="9"/>
        <v>0</v>
      </c>
      <c r="AI10" s="20">
        <f t="shared" si="9"/>
        <v>0</v>
      </c>
      <c r="AJ10" s="20">
        <f t="shared" si="9"/>
        <v>0</v>
      </c>
      <c r="AK10" s="20">
        <f t="shared" si="9"/>
        <v>0</v>
      </c>
      <c r="AL10" s="20">
        <f t="shared" si="9"/>
        <v>0</v>
      </c>
      <c r="AM10" s="20">
        <f t="shared" si="6"/>
        <v>0</v>
      </c>
      <c r="AN10" s="20">
        <f t="shared" si="9"/>
        <v>0</v>
      </c>
      <c r="AO10" s="20">
        <f t="shared" si="9"/>
        <v>0</v>
      </c>
      <c r="AP10" s="20">
        <f t="shared" si="9"/>
        <v>0</v>
      </c>
      <c r="AQ10" s="20">
        <f t="shared" si="9"/>
        <v>0</v>
      </c>
      <c r="AR10" s="20">
        <f t="shared" si="9"/>
        <v>0</v>
      </c>
      <c r="AS10" s="20">
        <f t="shared" si="9"/>
        <v>0</v>
      </c>
      <c r="AT10" s="20">
        <f t="shared" si="9"/>
        <v>0</v>
      </c>
      <c r="AU10" s="20">
        <f t="shared" si="9"/>
        <v>0</v>
      </c>
      <c r="AV10" s="20">
        <f t="shared" si="9"/>
        <v>0</v>
      </c>
      <c r="AW10" s="20">
        <f t="shared" si="9"/>
        <v>0</v>
      </c>
      <c r="AX10" s="20">
        <f t="shared" si="9"/>
        <v>0</v>
      </c>
      <c r="AY10" s="20">
        <f t="shared" si="7"/>
        <v>0</v>
      </c>
      <c r="AZ10" s="20">
        <f t="shared" si="9"/>
        <v>0</v>
      </c>
      <c r="BA10" s="20">
        <f t="shared" si="9"/>
        <v>0</v>
      </c>
      <c r="BB10" s="20">
        <f t="shared" si="9"/>
        <v>0</v>
      </c>
      <c r="BC10" s="20">
        <f t="shared" si="9"/>
        <v>0</v>
      </c>
      <c r="BD10" s="20">
        <f t="shared" si="9"/>
        <v>0</v>
      </c>
      <c r="BE10" s="20">
        <f t="shared" si="9"/>
        <v>0</v>
      </c>
      <c r="BF10" s="20">
        <f t="shared" si="9"/>
        <v>0</v>
      </c>
      <c r="BG10" s="20">
        <f t="shared" si="9"/>
        <v>0</v>
      </c>
      <c r="BH10" s="20">
        <f t="shared" si="9"/>
        <v>0</v>
      </c>
      <c r="BI10" s="20">
        <f t="shared" si="9"/>
        <v>0</v>
      </c>
      <c r="BJ10" s="20">
        <f t="shared" si="9"/>
        <v>0</v>
      </c>
      <c r="BK10" s="20">
        <f t="shared" si="8"/>
        <v>0</v>
      </c>
      <c r="BL10" s="20">
        <f t="shared" si="9"/>
        <v>0</v>
      </c>
      <c r="BM10" s="20">
        <f t="shared" si="9"/>
        <v>0</v>
      </c>
      <c r="BN10" s="20">
        <f t="shared" si="9"/>
        <v>0</v>
      </c>
      <c r="BO10" s="20">
        <f t="shared" si="9"/>
        <v>0</v>
      </c>
      <c r="BP10" s="20">
        <f t="shared" si="9"/>
        <v>0</v>
      </c>
      <c r="BQ10" s="20">
        <f t="shared" si="9"/>
        <v>0</v>
      </c>
      <c r="BR10" s="20">
        <f t="shared" si="9"/>
        <v>0</v>
      </c>
      <c r="BS10" s="20">
        <f t="shared" si="9"/>
        <v>0</v>
      </c>
      <c r="BT10" s="20">
        <f t="shared" si="9"/>
        <v>0</v>
      </c>
      <c r="BU10" s="20">
        <f t="shared" si="9"/>
        <v>0</v>
      </c>
      <c r="BV10" s="20">
        <f t="shared" si="9"/>
        <v>0</v>
      </c>
    </row>
    <row r="11" spans="1:74" s="10" customFormat="1" hidden="1" outlineLevel="1">
      <c r="B11" s="358"/>
      <c r="I11" s="109"/>
      <c r="J11" s="384"/>
      <c r="K11" s="60"/>
      <c r="L11" s="60"/>
      <c r="M11" s="60"/>
      <c r="N11" s="60"/>
      <c r="O11" s="22">
        <f t="shared" si="3"/>
        <v>0</v>
      </c>
      <c r="P11" s="20">
        <f t="shared" si="4"/>
        <v>0</v>
      </c>
      <c r="Q11" s="20">
        <f t="shared" si="9"/>
        <v>0</v>
      </c>
      <c r="R11" s="20">
        <f t="shared" si="9"/>
        <v>0</v>
      </c>
      <c r="S11" s="20">
        <f t="shared" si="9"/>
        <v>0</v>
      </c>
      <c r="T11" s="20">
        <f t="shared" si="9"/>
        <v>0</v>
      </c>
      <c r="U11" s="20">
        <f t="shared" si="9"/>
        <v>0</v>
      </c>
      <c r="V11" s="20">
        <f t="shared" si="9"/>
        <v>0</v>
      </c>
      <c r="W11" s="20">
        <f t="shared" si="9"/>
        <v>0</v>
      </c>
      <c r="X11" s="20">
        <f t="shared" si="9"/>
        <v>0</v>
      </c>
      <c r="Y11" s="20">
        <f t="shared" si="9"/>
        <v>0</v>
      </c>
      <c r="Z11" s="20">
        <f t="shared" si="9"/>
        <v>0</v>
      </c>
      <c r="AA11" s="20">
        <f t="shared" si="5"/>
        <v>0</v>
      </c>
      <c r="AB11" s="20">
        <f t="shared" si="9"/>
        <v>0</v>
      </c>
      <c r="AC11" s="20">
        <f t="shared" si="9"/>
        <v>0</v>
      </c>
      <c r="AD11" s="20">
        <f t="shared" si="9"/>
        <v>0</v>
      </c>
      <c r="AE11" s="20">
        <f t="shared" si="9"/>
        <v>0</v>
      </c>
      <c r="AF11" s="20">
        <f t="shared" si="9"/>
        <v>0</v>
      </c>
      <c r="AG11" s="20">
        <f t="shared" si="9"/>
        <v>0</v>
      </c>
      <c r="AH11" s="20">
        <f t="shared" si="9"/>
        <v>0</v>
      </c>
      <c r="AI11" s="20">
        <f t="shared" si="9"/>
        <v>0</v>
      </c>
      <c r="AJ11" s="20">
        <f t="shared" si="9"/>
        <v>0</v>
      </c>
      <c r="AK11" s="20">
        <f t="shared" si="9"/>
        <v>0</v>
      </c>
      <c r="AL11" s="20">
        <f t="shared" si="9"/>
        <v>0</v>
      </c>
      <c r="AM11" s="20">
        <f t="shared" si="6"/>
        <v>0</v>
      </c>
      <c r="AN11" s="20">
        <f t="shared" si="9"/>
        <v>0</v>
      </c>
      <c r="AO11" s="20">
        <f t="shared" si="9"/>
        <v>0</v>
      </c>
      <c r="AP11" s="20">
        <f t="shared" si="9"/>
        <v>0</v>
      </c>
      <c r="AQ11" s="20">
        <f t="shared" si="9"/>
        <v>0</v>
      </c>
      <c r="AR11" s="20">
        <f t="shared" si="9"/>
        <v>0</v>
      </c>
      <c r="AS11" s="20">
        <f t="shared" si="9"/>
        <v>0</v>
      </c>
      <c r="AT11" s="20">
        <f t="shared" si="9"/>
        <v>0</v>
      </c>
      <c r="AU11" s="20">
        <f t="shared" si="9"/>
        <v>0</v>
      </c>
      <c r="AV11" s="20">
        <f t="shared" si="9"/>
        <v>0</v>
      </c>
      <c r="AW11" s="20">
        <f t="shared" si="9"/>
        <v>0</v>
      </c>
      <c r="AX11" s="20">
        <f t="shared" si="9"/>
        <v>0</v>
      </c>
      <c r="AY11" s="20">
        <f t="shared" si="7"/>
        <v>0</v>
      </c>
      <c r="AZ11" s="20">
        <f t="shared" si="9"/>
        <v>0</v>
      </c>
      <c r="BA11" s="20">
        <f t="shared" si="9"/>
        <v>0</v>
      </c>
      <c r="BB11" s="20">
        <f t="shared" si="9"/>
        <v>0</v>
      </c>
      <c r="BC11" s="20">
        <f t="shared" si="9"/>
        <v>0</v>
      </c>
      <c r="BD11" s="20">
        <f t="shared" si="9"/>
        <v>0</v>
      </c>
      <c r="BE11" s="20">
        <f t="shared" si="9"/>
        <v>0</v>
      </c>
      <c r="BF11" s="20">
        <f t="shared" si="9"/>
        <v>0</v>
      </c>
      <c r="BG11" s="20">
        <f t="shared" si="9"/>
        <v>0</v>
      </c>
      <c r="BH11" s="20">
        <f t="shared" si="9"/>
        <v>0</v>
      </c>
      <c r="BI11" s="20">
        <f t="shared" si="9"/>
        <v>0</v>
      </c>
      <c r="BJ11" s="20">
        <f t="shared" si="9"/>
        <v>0</v>
      </c>
      <c r="BK11" s="20">
        <f t="shared" si="8"/>
        <v>0</v>
      </c>
      <c r="BL11" s="20">
        <f t="shared" si="9"/>
        <v>0</v>
      </c>
      <c r="BM11" s="20">
        <f t="shared" si="9"/>
        <v>0</v>
      </c>
      <c r="BN11" s="20">
        <f t="shared" si="9"/>
        <v>0</v>
      </c>
      <c r="BO11" s="20">
        <f t="shared" si="9"/>
        <v>0</v>
      </c>
      <c r="BP11" s="20">
        <f t="shared" si="9"/>
        <v>0</v>
      </c>
      <c r="BQ11" s="20">
        <f t="shared" si="9"/>
        <v>0</v>
      </c>
      <c r="BR11" s="20">
        <f t="shared" si="9"/>
        <v>0</v>
      </c>
      <c r="BS11" s="20">
        <f t="shared" si="9"/>
        <v>0</v>
      </c>
      <c r="BT11" s="20">
        <f t="shared" si="9"/>
        <v>0</v>
      </c>
      <c r="BU11" s="20">
        <f t="shared" si="9"/>
        <v>0</v>
      </c>
      <c r="BV11" s="20">
        <f t="shared" si="9"/>
        <v>0</v>
      </c>
    </row>
    <row r="12" spans="1:74" s="10" customFormat="1" hidden="1" outlineLevel="1">
      <c r="B12" s="358"/>
      <c r="I12" s="109"/>
      <c r="J12" s="384"/>
      <c r="K12" s="60"/>
      <c r="L12" s="60"/>
      <c r="M12" s="60"/>
      <c r="N12" s="60"/>
      <c r="O12" s="22">
        <f t="shared" si="3"/>
        <v>0</v>
      </c>
      <c r="P12" s="20">
        <f t="shared" si="4"/>
        <v>0</v>
      </c>
      <c r="Q12" s="20">
        <f t="shared" si="9"/>
        <v>0</v>
      </c>
      <c r="R12" s="20">
        <f t="shared" si="9"/>
        <v>0</v>
      </c>
      <c r="S12" s="20">
        <f t="shared" si="9"/>
        <v>0</v>
      </c>
      <c r="T12" s="20">
        <f t="shared" si="9"/>
        <v>0</v>
      </c>
      <c r="U12" s="20">
        <f t="shared" si="9"/>
        <v>0</v>
      </c>
      <c r="V12" s="20">
        <f t="shared" si="9"/>
        <v>0</v>
      </c>
      <c r="W12" s="20">
        <f t="shared" si="9"/>
        <v>0</v>
      </c>
      <c r="X12" s="20">
        <f t="shared" si="9"/>
        <v>0</v>
      </c>
      <c r="Y12" s="20">
        <f t="shared" si="9"/>
        <v>0</v>
      </c>
      <c r="Z12" s="20">
        <f t="shared" si="9"/>
        <v>0</v>
      </c>
      <c r="AA12" s="20">
        <f t="shared" si="5"/>
        <v>0</v>
      </c>
      <c r="AB12" s="20">
        <f t="shared" si="9"/>
        <v>0</v>
      </c>
      <c r="AC12" s="20">
        <f t="shared" si="9"/>
        <v>0</v>
      </c>
      <c r="AD12" s="20">
        <f t="shared" si="9"/>
        <v>0</v>
      </c>
      <c r="AE12" s="20">
        <f t="shared" si="9"/>
        <v>0</v>
      </c>
      <c r="AF12" s="20">
        <f t="shared" si="9"/>
        <v>0</v>
      </c>
      <c r="AG12" s="20">
        <f t="shared" si="9"/>
        <v>0</v>
      </c>
      <c r="AH12" s="20">
        <f t="shared" si="9"/>
        <v>0</v>
      </c>
      <c r="AI12" s="20">
        <f t="shared" si="9"/>
        <v>0</v>
      </c>
      <c r="AJ12" s="20">
        <f t="shared" si="9"/>
        <v>0</v>
      </c>
      <c r="AK12" s="20">
        <f t="shared" si="9"/>
        <v>0</v>
      </c>
      <c r="AL12" s="20">
        <f t="shared" si="9"/>
        <v>0</v>
      </c>
      <c r="AM12" s="20">
        <f t="shared" si="6"/>
        <v>0</v>
      </c>
      <c r="AN12" s="20">
        <f t="shared" si="9"/>
        <v>0</v>
      </c>
      <c r="AO12" s="20">
        <f t="shared" si="9"/>
        <v>0</v>
      </c>
      <c r="AP12" s="20">
        <f t="shared" si="9"/>
        <v>0</v>
      </c>
      <c r="AQ12" s="20">
        <f t="shared" si="9"/>
        <v>0</v>
      </c>
      <c r="AR12" s="20">
        <f t="shared" si="9"/>
        <v>0</v>
      </c>
      <c r="AS12" s="20">
        <f t="shared" si="9"/>
        <v>0</v>
      </c>
      <c r="AT12" s="20">
        <f t="shared" si="9"/>
        <v>0</v>
      </c>
      <c r="AU12" s="20">
        <f t="shared" si="9"/>
        <v>0</v>
      </c>
      <c r="AV12" s="20">
        <f t="shared" si="9"/>
        <v>0</v>
      </c>
      <c r="AW12" s="20">
        <f t="shared" si="9"/>
        <v>0</v>
      </c>
      <c r="AX12" s="20">
        <f t="shared" si="9"/>
        <v>0</v>
      </c>
      <c r="AY12" s="20">
        <f t="shared" si="7"/>
        <v>0</v>
      </c>
      <c r="AZ12" s="20">
        <f t="shared" si="9"/>
        <v>0</v>
      </c>
      <c r="BA12" s="20">
        <f t="shared" si="9"/>
        <v>0</v>
      </c>
      <c r="BB12" s="20">
        <f t="shared" si="9"/>
        <v>0</v>
      </c>
      <c r="BC12" s="20">
        <f t="shared" si="9"/>
        <v>0</v>
      </c>
      <c r="BD12" s="20">
        <f t="shared" si="9"/>
        <v>0</v>
      </c>
      <c r="BE12" s="20">
        <f t="shared" si="9"/>
        <v>0</v>
      </c>
      <c r="BF12" s="20">
        <f t="shared" si="9"/>
        <v>0</v>
      </c>
      <c r="BG12" s="20">
        <f t="shared" si="9"/>
        <v>0</v>
      </c>
      <c r="BH12" s="20">
        <f t="shared" si="9"/>
        <v>0</v>
      </c>
      <c r="BI12" s="20">
        <f t="shared" si="9"/>
        <v>0</v>
      </c>
      <c r="BJ12" s="20">
        <f t="shared" si="9"/>
        <v>0</v>
      </c>
      <c r="BK12" s="20">
        <f t="shared" si="8"/>
        <v>0</v>
      </c>
      <c r="BL12" s="20">
        <f t="shared" si="9"/>
        <v>0</v>
      </c>
      <c r="BM12" s="20">
        <f t="shared" si="9"/>
        <v>0</v>
      </c>
      <c r="BN12" s="20">
        <f t="shared" si="9"/>
        <v>0</v>
      </c>
      <c r="BO12" s="20">
        <f t="shared" si="9"/>
        <v>0</v>
      </c>
      <c r="BP12" s="20">
        <f t="shared" si="9"/>
        <v>0</v>
      </c>
      <c r="BQ12" s="20">
        <f t="shared" si="9"/>
        <v>0</v>
      </c>
      <c r="BR12" s="20">
        <f t="shared" si="9"/>
        <v>0</v>
      </c>
      <c r="BS12" s="20">
        <f t="shared" si="9"/>
        <v>0</v>
      </c>
      <c r="BT12" s="20">
        <f t="shared" si="9"/>
        <v>0</v>
      </c>
      <c r="BU12" s="20">
        <f t="shared" si="9"/>
        <v>0</v>
      </c>
      <c r="BV12" s="20">
        <f t="shared" si="9"/>
        <v>0</v>
      </c>
    </row>
    <row r="13" spans="1:74" s="10" customFormat="1" hidden="1" outlineLevel="1">
      <c r="B13" s="358"/>
      <c r="I13" s="109"/>
      <c r="J13" s="384"/>
      <c r="K13" s="60"/>
      <c r="L13" s="60"/>
      <c r="M13" s="60"/>
      <c r="N13" s="60"/>
      <c r="O13" s="22">
        <f t="shared" si="3"/>
        <v>0</v>
      </c>
      <c r="P13" s="20">
        <f t="shared" si="4"/>
        <v>0</v>
      </c>
      <c r="Q13" s="20">
        <f t="shared" si="9"/>
        <v>0</v>
      </c>
      <c r="R13" s="20">
        <f t="shared" si="9"/>
        <v>0</v>
      </c>
      <c r="S13" s="20">
        <f t="shared" si="9"/>
        <v>0</v>
      </c>
      <c r="T13" s="20">
        <f t="shared" si="9"/>
        <v>0</v>
      </c>
      <c r="U13" s="20">
        <f t="shared" si="9"/>
        <v>0</v>
      </c>
      <c r="V13" s="20">
        <f t="shared" si="9"/>
        <v>0</v>
      </c>
      <c r="W13" s="20">
        <f t="shared" si="9"/>
        <v>0</v>
      </c>
      <c r="X13" s="20">
        <f t="shared" si="9"/>
        <v>0</v>
      </c>
      <c r="Y13" s="20">
        <f t="shared" si="9"/>
        <v>0</v>
      </c>
      <c r="Z13" s="20">
        <f t="shared" si="9"/>
        <v>0</v>
      </c>
      <c r="AA13" s="20">
        <f t="shared" si="5"/>
        <v>0</v>
      </c>
      <c r="AB13" s="20">
        <f t="shared" si="9"/>
        <v>0</v>
      </c>
      <c r="AC13" s="20">
        <f t="shared" si="9"/>
        <v>0</v>
      </c>
      <c r="AD13" s="20">
        <f t="shared" si="9"/>
        <v>0</v>
      </c>
      <c r="AE13" s="20">
        <f t="shared" si="9"/>
        <v>0</v>
      </c>
      <c r="AF13" s="20">
        <f t="shared" si="9"/>
        <v>0</v>
      </c>
      <c r="AG13" s="20">
        <f t="shared" si="9"/>
        <v>0</v>
      </c>
      <c r="AH13" s="20">
        <f t="shared" si="9"/>
        <v>0</v>
      </c>
      <c r="AI13" s="20">
        <f t="shared" si="9"/>
        <v>0</v>
      </c>
      <c r="AJ13" s="20">
        <f t="shared" si="9"/>
        <v>0</v>
      </c>
      <c r="AK13" s="20">
        <f t="shared" si="9"/>
        <v>0</v>
      </c>
      <c r="AL13" s="20">
        <f t="shared" si="9"/>
        <v>0</v>
      </c>
      <c r="AM13" s="20">
        <f t="shared" si="6"/>
        <v>0</v>
      </c>
      <c r="AN13" s="20">
        <f t="shared" si="9"/>
        <v>0</v>
      </c>
      <c r="AO13" s="20">
        <f t="shared" si="9"/>
        <v>0</v>
      </c>
      <c r="AP13" s="20">
        <f t="shared" si="9"/>
        <v>0</v>
      </c>
      <c r="AQ13" s="20">
        <f t="shared" si="9"/>
        <v>0</v>
      </c>
      <c r="AR13" s="20">
        <f t="shared" si="9"/>
        <v>0</v>
      </c>
      <c r="AS13" s="20">
        <f t="shared" si="9"/>
        <v>0</v>
      </c>
      <c r="AT13" s="20">
        <f t="shared" si="9"/>
        <v>0</v>
      </c>
      <c r="AU13" s="20">
        <f t="shared" si="9"/>
        <v>0</v>
      </c>
      <c r="AV13" s="20">
        <f t="shared" si="9"/>
        <v>0</v>
      </c>
      <c r="AW13" s="20">
        <f t="shared" si="9"/>
        <v>0</v>
      </c>
      <c r="AX13" s="20">
        <f t="shared" si="9"/>
        <v>0</v>
      </c>
      <c r="AY13" s="20">
        <f t="shared" si="7"/>
        <v>0</v>
      </c>
      <c r="AZ13" s="20">
        <f t="shared" si="9"/>
        <v>0</v>
      </c>
      <c r="BA13" s="20">
        <f t="shared" si="9"/>
        <v>0</v>
      </c>
      <c r="BB13" s="20">
        <f t="shared" si="9"/>
        <v>0</v>
      </c>
      <c r="BC13" s="20">
        <f t="shared" si="9"/>
        <v>0</v>
      </c>
      <c r="BD13" s="20">
        <f t="shared" si="9"/>
        <v>0</v>
      </c>
      <c r="BE13" s="20">
        <f t="shared" si="9"/>
        <v>0</v>
      </c>
      <c r="BF13" s="20">
        <f t="shared" si="9"/>
        <v>0</v>
      </c>
      <c r="BG13" s="20">
        <f t="shared" si="9"/>
        <v>0</v>
      </c>
      <c r="BH13" s="20">
        <f t="shared" si="9"/>
        <v>0</v>
      </c>
      <c r="BI13" s="20">
        <f t="shared" si="9"/>
        <v>0</v>
      </c>
      <c r="BJ13" s="20">
        <f t="shared" si="9"/>
        <v>0</v>
      </c>
      <c r="BK13" s="20">
        <f t="shared" si="8"/>
        <v>0</v>
      </c>
      <c r="BL13" s="20">
        <f t="shared" si="9"/>
        <v>0</v>
      </c>
      <c r="BM13" s="20">
        <f t="shared" si="9"/>
        <v>0</v>
      </c>
      <c r="BN13" s="20">
        <f t="shared" si="9"/>
        <v>0</v>
      </c>
      <c r="BO13" s="20">
        <f t="shared" si="9"/>
        <v>0</v>
      </c>
      <c r="BP13" s="20">
        <f t="shared" si="9"/>
        <v>0</v>
      </c>
      <c r="BQ13" s="20">
        <f t="shared" si="9"/>
        <v>0</v>
      </c>
      <c r="BR13" s="20">
        <f t="shared" si="9"/>
        <v>0</v>
      </c>
      <c r="BS13" s="20">
        <f t="shared" si="9"/>
        <v>0</v>
      </c>
      <c r="BT13" s="20">
        <f t="shared" si="9"/>
        <v>0</v>
      </c>
      <c r="BU13" s="20">
        <f t="shared" si="9"/>
        <v>0</v>
      </c>
      <c r="BV13" s="20">
        <f t="shared" si="9"/>
        <v>0</v>
      </c>
    </row>
    <row r="14" spans="1:74" s="10" customFormat="1" hidden="1" outlineLevel="1">
      <c r="I14" s="109"/>
      <c r="J14" s="384"/>
      <c r="K14" s="60"/>
      <c r="L14" s="60"/>
      <c r="M14" s="60"/>
      <c r="N14" s="60"/>
      <c r="O14" s="22">
        <f t="shared" si="3"/>
        <v>0</v>
      </c>
      <c r="P14" s="20">
        <f t="shared" si="4"/>
        <v>0</v>
      </c>
      <c r="Q14" s="20">
        <f t="shared" si="9"/>
        <v>0</v>
      </c>
      <c r="R14" s="20">
        <f t="shared" si="9"/>
        <v>0</v>
      </c>
      <c r="S14" s="20">
        <f t="shared" si="9"/>
        <v>0</v>
      </c>
      <c r="T14" s="20">
        <f t="shared" ref="Q14:BV18" si="10">S14</f>
        <v>0</v>
      </c>
      <c r="U14" s="20">
        <f t="shared" si="10"/>
        <v>0</v>
      </c>
      <c r="V14" s="20">
        <f t="shared" si="10"/>
        <v>0</v>
      </c>
      <c r="W14" s="20">
        <f t="shared" si="10"/>
        <v>0</v>
      </c>
      <c r="X14" s="20">
        <f t="shared" si="10"/>
        <v>0</v>
      </c>
      <c r="Y14" s="20">
        <f t="shared" si="10"/>
        <v>0</v>
      </c>
      <c r="Z14" s="20">
        <f t="shared" si="10"/>
        <v>0</v>
      </c>
      <c r="AA14" s="20">
        <f t="shared" si="5"/>
        <v>0</v>
      </c>
      <c r="AB14" s="20">
        <f t="shared" si="10"/>
        <v>0</v>
      </c>
      <c r="AC14" s="20">
        <f t="shared" si="10"/>
        <v>0</v>
      </c>
      <c r="AD14" s="20">
        <f t="shared" si="10"/>
        <v>0</v>
      </c>
      <c r="AE14" s="20">
        <f t="shared" si="10"/>
        <v>0</v>
      </c>
      <c r="AF14" s="20">
        <f t="shared" si="10"/>
        <v>0</v>
      </c>
      <c r="AG14" s="20">
        <f t="shared" si="10"/>
        <v>0</v>
      </c>
      <c r="AH14" s="20">
        <f t="shared" si="10"/>
        <v>0</v>
      </c>
      <c r="AI14" s="20">
        <f t="shared" si="10"/>
        <v>0</v>
      </c>
      <c r="AJ14" s="20">
        <f t="shared" si="10"/>
        <v>0</v>
      </c>
      <c r="AK14" s="20">
        <f t="shared" si="10"/>
        <v>0</v>
      </c>
      <c r="AL14" s="20">
        <f t="shared" si="10"/>
        <v>0</v>
      </c>
      <c r="AM14" s="20">
        <f t="shared" si="6"/>
        <v>0</v>
      </c>
      <c r="AN14" s="20">
        <f t="shared" si="10"/>
        <v>0</v>
      </c>
      <c r="AO14" s="20">
        <f t="shared" si="10"/>
        <v>0</v>
      </c>
      <c r="AP14" s="20">
        <f t="shared" si="10"/>
        <v>0</v>
      </c>
      <c r="AQ14" s="20">
        <f t="shared" si="10"/>
        <v>0</v>
      </c>
      <c r="AR14" s="20">
        <f t="shared" si="10"/>
        <v>0</v>
      </c>
      <c r="AS14" s="20">
        <f t="shared" si="10"/>
        <v>0</v>
      </c>
      <c r="AT14" s="20">
        <f t="shared" si="10"/>
        <v>0</v>
      </c>
      <c r="AU14" s="20">
        <f t="shared" si="10"/>
        <v>0</v>
      </c>
      <c r="AV14" s="20">
        <f t="shared" si="10"/>
        <v>0</v>
      </c>
      <c r="AW14" s="20">
        <f t="shared" si="10"/>
        <v>0</v>
      </c>
      <c r="AX14" s="20">
        <f t="shared" si="10"/>
        <v>0</v>
      </c>
      <c r="AY14" s="20">
        <f t="shared" si="7"/>
        <v>0</v>
      </c>
      <c r="AZ14" s="20">
        <f t="shared" si="10"/>
        <v>0</v>
      </c>
      <c r="BA14" s="20">
        <f t="shared" si="10"/>
        <v>0</v>
      </c>
      <c r="BB14" s="20">
        <f t="shared" si="10"/>
        <v>0</v>
      </c>
      <c r="BC14" s="20">
        <f t="shared" si="10"/>
        <v>0</v>
      </c>
      <c r="BD14" s="20">
        <f t="shared" si="10"/>
        <v>0</v>
      </c>
      <c r="BE14" s="20">
        <f t="shared" si="10"/>
        <v>0</v>
      </c>
      <c r="BF14" s="20">
        <f t="shared" si="10"/>
        <v>0</v>
      </c>
      <c r="BG14" s="20">
        <f t="shared" si="10"/>
        <v>0</v>
      </c>
      <c r="BH14" s="20">
        <f t="shared" si="10"/>
        <v>0</v>
      </c>
      <c r="BI14" s="20">
        <f t="shared" si="10"/>
        <v>0</v>
      </c>
      <c r="BJ14" s="20">
        <f t="shared" si="10"/>
        <v>0</v>
      </c>
      <c r="BK14" s="20">
        <f t="shared" si="8"/>
        <v>0</v>
      </c>
      <c r="BL14" s="20">
        <f t="shared" si="10"/>
        <v>0</v>
      </c>
      <c r="BM14" s="20">
        <f t="shared" si="10"/>
        <v>0</v>
      </c>
      <c r="BN14" s="20">
        <f t="shared" si="10"/>
        <v>0</v>
      </c>
      <c r="BO14" s="20">
        <f t="shared" si="10"/>
        <v>0</v>
      </c>
      <c r="BP14" s="20">
        <f t="shared" si="10"/>
        <v>0</v>
      </c>
      <c r="BQ14" s="20">
        <f t="shared" si="10"/>
        <v>0</v>
      </c>
      <c r="BR14" s="20">
        <f t="shared" si="10"/>
        <v>0</v>
      </c>
      <c r="BS14" s="20">
        <f t="shared" si="10"/>
        <v>0</v>
      </c>
      <c r="BT14" s="20">
        <f t="shared" si="10"/>
        <v>0</v>
      </c>
      <c r="BU14" s="20">
        <f t="shared" si="10"/>
        <v>0</v>
      </c>
      <c r="BV14" s="20">
        <f t="shared" si="10"/>
        <v>0</v>
      </c>
    </row>
    <row r="15" spans="1:74" s="10" customFormat="1" hidden="1" outlineLevel="1">
      <c r="I15" s="109"/>
      <c r="J15" s="384"/>
      <c r="K15" s="60"/>
      <c r="L15" s="60"/>
      <c r="M15" s="60"/>
      <c r="N15" s="60"/>
      <c r="O15" s="22">
        <f t="shared" si="3"/>
        <v>0</v>
      </c>
      <c r="P15" s="20">
        <f t="shared" si="4"/>
        <v>0</v>
      </c>
      <c r="Q15" s="20">
        <f t="shared" si="10"/>
        <v>0</v>
      </c>
      <c r="R15" s="20">
        <f t="shared" si="10"/>
        <v>0</v>
      </c>
      <c r="S15" s="20">
        <f t="shared" si="10"/>
        <v>0</v>
      </c>
      <c r="T15" s="20">
        <f t="shared" si="10"/>
        <v>0</v>
      </c>
      <c r="U15" s="20">
        <f t="shared" si="10"/>
        <v>0</v>
      </c>
      <c r="V15" s="20">
        <f t="shared" si="10"/>
        <v>0</v>
      </c>
      <c r="W15" s="20">
        <f t="shared" si="10"/>
        <v>0</v>
      </c>
      <c r="X15" s="20">
        <f t="shared" si="10"/>
        <v>0</v>
      </c>
      <c r="Y15" s="20">
        <f t="shared" si="10"/>
        <v>0</v>
      </c>
      <c r="Z15" s="20">
        <f t="shared" si="10"/>
        <v>0</v>
      </c>
      <c r="AA15" s="20">
        <f t="shared" si="5"/>
        <v>0</v>
      </c>
      <c r="AB15" s="20">
        <f t="shared" si="10"/>
        <v>0</v>
      </c>
      <c r="AC15" s="20">
        <f t="shared" si="10"/>
        <v>0</v>
      </c>
      <c r="AD15" s="20">
        <f t="shared" si="10"/>
        <v>0</v>
      </c>
      <c r="AE15" s="20">
        <f t="shared" si="10"/>
        <v>0</v>
      </c>
      <c r="AF15" s="20">
        <f t="shared" si="10"/>
        <v>0</v>
      </c>
      <c r="AG15" s="20">
        <f t="shared" si="10"/>
        <v>0</v>
      </c>
      <c r="AH15" s="20">
        <f t="shared" si="10"/>
        <v>0</v>
      </c>
      <c r="AI15" s="20">
        <f t="shared" si="10"/>
        <v>0</v>
      </c>
      <c r="AJ15" s="20">
        <f t="shared" si="10"/>
        <v>0</v>
      </c>
      <c r="AK15" s="20">
        <f t="shared" si="10"/>
        <v>0</v>
      </c>
      <c r="AL15" s="20">
        <f t="shared" si="10"/>
        <v>0</v>
      </c>
      <c r="AM15" s="20">
        <f t="shared" si="6"/>
        <v>0</v>
      </c>
      <c r="AN15" s="20">
        <f t="shared" si="10"/>
        <v>0</v>
      </c>
      <c r="AO15" s="20">
        <f t="shared" si="10"/>
        <v>0</v>
      </c>
      <c r="AP15" s="20">
        <f t="shared" si="10"/>
        <v>0</v>
      </c>
      <c r="AQ15" s="20">
        <f t="shared" si="10"/>
        <v>0</v>
      </c>
      <c r="AR15" s="20">
        <f t="shared" si="10"/>
        <v>0</v>
      </c>
      <c r="AS15" s="20">
        <f t="shared" si="10"/>
        <v>0</v>
      </c>
      <c r="AT15" s="20">
        <f t="shared" si="10"/>
        <v>0</v>
      </c>
      <c r="AU15" s="20">
        <f t="shared" si="10"/>
        <v>0</v>
      </c>
      <c r="AV15" s="20">
        <f t="shared" si="10"/>
        <v>0</v>
      </c>
      <c r="AW15" s="20">
        <f t="shared" si="10"/>
        <v>0</v>
      </c>
      <c r="AX15" s="20">
        <f t="shared" si="10"/>
        <v>0</v>
      </c>
      <c r="AY15" s="20">
        <f t="shared" si="7"/>
        <v>0</v>
      </c>
      <c r="AZ15" s="20">
        <f t="shared" si="10"/>
        <v>0</v>
      </c>
      <c r="BA15" s="20">
        <f t="shared" si="10"/>
        <v>0</v>
      </c>
      <c r="BB15" s="20">
        <f t="shared" si="10"/>
        <v>0</v>
      </c>
      <c r="BC15" s="20">
        <f t="shared" si="10"/>
        <v>0</v>
      </c>
      <c r="BD15" s="20">
        <f t="shared" si="10"/>
        <v>0</v>
      </c>
      <c r="BE15" s="20">
        <f t="shared" si="10"/>
        <v>0</v>
      </c>
      <c r="BF15" s="20">
        <f t="shared" si="10"/>
        <v>0</v>
      </c>
      <c r="BG15" s="20">
        <f t="shared" si="10"/>
        <v>0</v>
      </c>
      <c r="BH15" s="20">
        <f t="shared" si="10"/>
        <v>0</v>
      </c>
      <c r="BI15" s="20">
        <f t="shared" si="10"/>
        <v>0</v>
      </c>
      <c r="BJ15" s="20">
        <f t="shared" si="10"/>
        <v>0</v>
      </c>
      <c r="BK15" s="20">
        <f t="shared" si="8"/>
        <v>0</v>
      </c>
      <c r="BL15" s="20">
        <f t="shared" si="10"/>
        <v>0</v>
      </c>
      <c r="BM15" s="20">
        <f t="shared" si="10"/>
        <v>0</v>
      </c>
      <c r="BN15" s="20">
        <f t="shared" si="10"/>
        <v>0</v>
      </c>
      <c r="BO15" s="20">
        <f t="shared" si="10"/>
        <v>0</v>
      </c>
      <c r="BP15" s="20">
        <f t="shared" si="10"/>
        <v>0</v>
      </c>
      <c r="BQ15" s="20">
        <f t="shared" si="10"/>
        <v>0</v>
      </c>
      <c r="BR15" s="20">
        <f t="shared" si="10"/>
        <v>0</v>
      </c>
      <c r="BS15" s="20">
        <f t="shared" si="10"/>
        <v>0</v>
      </c>
      <c r="BT15" s="20">
        <f t="shared" si="10"/>
        <v>0</v>
      </c>
      <c r="BU15" s="20">
        <f t="shared" si="10"/>
        <v>0</v>
      </c>
      <c r="BV15" s="20">
        <f t="shared" si="10"/>
        <v>0</v>
      </c>
    </row>
    <row r="16" spans="1:74" s="10" customFormat="1" hidden="1" outlineLevel="1">
      <c r="I16" s="109"/>
      <c r="J16" s="384"/>
      <c r="K16" s="60"/>
      <c r="L16" s="60"/>
      <c r="M16" s="60"/>
      <c r="N16" s="60"/>
      <c r="O16" s="22">
        <f t="shared" si="3"/>
        <v>0</v>
      </c>
      <c r="P16" s="20">
        <f t="shared" si="4"/>
        <v>0</v>
      </c>
      <c r="Q16" s="20">
        <f t="shared" si="10"/>
        <v>0</v>
      </c>
      <c r="R16" s="20">
        <f t="shared" si="10"/>
        <v>0</v>
      </c>
      <c r="S16" s="20">
        <f t="shared" si="10"/>
        <v>0</v>
      </c>
      <c r="T16" s="20">
        <f t="shared" si="10"/>
        <v>0</v>
      </c>
      <c r="U16" s="20">
        <f t="shared" si="10"/>
        <v>0</v>
      </c>
      <c r="V16" s="20">
        <f t="shared" si="10"/>
        <v>0</v>
      </c>
      <c r="W16" s="20">
        <f t="shared" si="10"/>
        <v>0</v>
      </c>
      <c r="X16" s="20">
        <f t="shared" si="10"/>
        <v>0</v>
      </c>
      <c r="Y16" s="20">
        <f t="shared" si="10"/>
        <v>0</v>
      </c>
      <c r="Z16" s="20">
        <f t="shared" si="10"/>
        <v>0</v>
      </c>
      <c r="AA16" s="20">
        <f t="shared" si="5"/>
        <v>0</v>
      </c>
      <c r="AB16" s="20">
        <f t="shared" si="10"/>
        <v>0</v>
      </c>
      <c r="AC16" s="20">
        <f t="shared" si="10"/>
        <v>0</v>
      </c>
      <c r="AD16" s="20">
        <f t="shared" si="10"/>
        <v>0</v>
      </c>
      <c r="AE16" s="20">
        <f t="shared" si="10"/>
        <v>0</v>
      </c>
      <c r="AF16" s="20">
        <f t="shared" si="10"/>
        <v>0</v>
      </c>
      <c r="AG16" s="20">
        <f t="shared" si="10"/>
        <v>0</v>
      </c>
      <c r="AH16" s="20">
        <f t="shared" si="10"/>
        <v>0</v>
      </c>
      <c r="AI16" s="20">
        <f t="shared" si="10"/>
        <v>0</v>
      </c>
      <c r="AJ16" s="20">
        <f t="shared" si="10"/>
        <v>0</v>
      </c>
      <c r="AK16" s="20">
        <f t="shared" si="10"/>
        <v>0</v>
      </c>
      <c r="AL16" s="20">
        <f t="shared" si="10"/>
        <v>0</v>
      </c>
      <c r="AM16" s="20">
        <f t="shared" si="6"/>
        <v>0</v>
      </c>
      <c r="AN16" s="20">
        <f t="shared" si="10"/>
        <v>0</v>
      </c>
      <c r="AO16" s="20">
        <f t="shared" si="10"/>
        <v>0</v>
      </c>
      <c r="AP16" s="20">
        <f t="shared" si="10"/>
        <v>0</v>
      </c>
      <c r="AQ16" s="20">
        <f t="shared" si="10"/>
        <v>0</v>
      </c>
      <c r="AR16" s="20">
        <f t="shared" si="10"/>
        <v>0</v>
      </c>
      <c r="AS16" s="20">
        <f t="shared" si="10"/>
        <v>0</v>
      </c>
      <c r="AT16" s="20">
        <f t="shared" si="10"/>
        <v>0</v>
      </c>
      <c r="AU16" s="20">
        <f t="shared" si="10"/>
        <v>0</v>
      </c>
      <c r="AV16" s="20">
        <f t="shared" si="10"/>
        <v>0</v>
      </c>
      <c r="AW16" s="20">
        <f t="shared" si="10"/>
        <v>0</v>
      </c>
      <c r="AX16" s="20">
        <f t="shared" si="10"/>
        <v>0</v>
      </c>
      <c r="AY16" s="20">
        <f t="shared" si="7"/>
        <v>0</v>
      </c>
      <c r="AZ16" s="20">
        <f t="shared" si="10"/>
        <v>0</v>
      </c>
      <c r="BA16" s="20">
        <f t="shared" si="10"/>
        <v>0</v>
      </c>
      <c r="BB16" s="20">
        <f t="shared" si="10"/>
        <v>0</v>
      </c>
      <c r="BC16" s="20">
        <f t="shared" si="10"/>
        <v>0</v>
      </c>
      <c r="BD16" s="20">
        <f t="shared" si="10"/>
        <v>0</v>
      </c>
      <c r="BE16" s="20">
        <f t="shared" si="10"/>
        <v>0</v>
      </c>
      <c r="BF16" s="20">
        <f t="shared" si="10"/>
        <v>0</v>
      </c>
      <c r="BG16" s="20">
        <f t="shared" si="10"/>
        <v>0</v>
      </c>
      <c r="BH16" s="20">
        <f t="shared" si="10"/>
        <v>0</v>
      </c>
      <c r="BI16" s="20">
        <f t="shared" si="10"/>
        <v>0</v>
      </c>
      <c r="BJ16" s="20">
        <f t="shared" si="10"/>
        <v>0</v>
      </c>
      <c r="BK16" s="20">
        <f t="shared" si="8"/>
        <v>0</v>
      </c>
      <c r="BL16" s="20">
        <f t="shared" si="10"/>
        <v>0</v>
      </c>
      <c r="BM16" s="20">
        <f t="shared" si="10"/>
        <v>0</v>
      </c>
      <c r="BN16" s="20">
        <f t="shared" si="10"/>
        <v>0</v>
      </c>
      <c r="BO16" s="20">
        <f t="shared" si="10"/>
        <v>0</v>
      </c>
      <c r="BP16" s="20">
        <f t="shared" si="10"/>
        <v>0</v>
      </c>
      <c r="BQ16" s="20">
        <f t="shared" si="10"/>
        <v>0</v>
      </c>
      <c r="BR16" s="20">
        <f t="shared" si="10"/>
        <v>0</v>
      </c>
      <c r="BS16" s="20">
        <f t="shared" si="10"/>
        <v>0</v>
      </c>
      <c r="BT16" s="20">
        <f t="shared" si="10"/>
        <v>0</v>
      </c>
      <c r="BU16" s="20">
        <f t="shared" si="10"/>
        <v>0</v>
      </c>
      <c r="BV16" s="20">
        <f t="shared" si="10"/>
        <v>0</v>
      </c>
    </row>
    <row r="17" spans="1:74" s="10" customFormat="1" hidden="1" outlineLevel="1">
      <c r="I17" s="109"/>
      <c r="J17" s="384"/>
      <c r="K17" s="60"/>
      <c r="L17" s="60"/>
      <c r="M17" s="60"/>
      <c r="N17" s="60"/>
      <c r="O17" s="22">
        <f t="shared" si="3"/>
        <v>0</v>
      </c>
      <c r="P17" s="20">
        <f t="shared" si="4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0</v>
      </c>
      <c r="U17" s="20">
        <f t="shared" si="10"/>
        <v>0</v>
      </c>
      <c r="V17" s="20">
        <f t="shared" si="10"/>
        <v>0</v>
      </c>
      <c r="W17" s="20">
        <f t="shared" si="10"/>
        <v>0</v>
      </c>
      <c r="X17" s="20">
        <f t="shared" si="10"/>
        <v>0</v>
      </c>
      <c r="Y17" s="20">
        <f t="shared" si="10"/>
        <v>0</v>
      </c>
      <c r="Z17" s="20">
        <f t="shared" si="10"/>
        <v>0</v>
      </c>
      <c r="AA17" s="20">
        <f t="shared" si="5"/>
        <v>0</v>
      </c>
      <c r="AB17" s="20">
        <f t="shared" si="10"/>
        <v>0</v>
      </c>
      <c r="AC17" s="20">
        <f t="shared" si="10"/>
        <v>0</v>
      </c>
      <c r="AD17" s="20">
        <f t="shared" si="10"/>
        <v>0</v>
      </c>
      <c r="AE17" s="20">
        <f t="shared" si="10"/>
        <v>0</v>
      </c>
      <c r="AF17" s="20">
        <f t="shared" si="10"/>
        <v>0</v>
      </c>
      <c r="AG17" s="20">
        <f t="shared" si="10"/>
        <v>0</v>
      </c>
      <c r="AH17" s="20">
        <f t="shared" si="10"/>
        <v>0</v>
      </c>
      <c r="AI17" s="20">
        <f t="shared" si="10"/>
        <v>0</v>
      </c>
      <c r="AJ17" s="20">
        <f t="shared" si="10"/>
        <v>0</v>
      </c>
      <c r="AK17" s="20">
        <f t="shared" si="10"/>
        <v>0</v>
      </c>
      <c r="AL17" s="20">
        <f t="shared" si="10"/>
        <v>0</v>
      </c>
      <c r="AM17" s="20">
        <f t="shared" si="6"/>
        <v>0</v>
      </c>
      <c r="AN17" s="20">
        <f t="shared" si="10"/>
        <v>0</v>
      </c>
      <c r="AO17" s="20">
        <f t="shared" si="10"/>
        <v>0</v>
      </c>
      <c r="AP17" s="20">
        <f t="shared" si="10"/>
        <v>0</v>
      </c>
      <c r="AQ17" s="20">
        <f t="shared" si="10"/>
        <v>0</v>
      </c>
      <c r="AR17" s="20">
        <f t="shared" si="10"/>
        <v>0</v>
      </c>
      <c r="AS17" s="20">
        <f t="shared" si="10"/>
        <v>0</v>
      </c>
      <c r="AT17" s="20">
        <f t="shared" si="10"/>
        <v>0</v>
      </c>
      <c r="AU17" s="20">
        <f t="shared" si="10"/>
        <v>0</v>
      </c>
      <c r="AV17" s="20">
        <f t="shared" si="10"/>
        <v>0</v>
      </c>
      <c r="AW17" s="20">
        <f t="shared" si="10"/>
        <v>0</v>
      </c>
      <c r="AX17" s="20">
        <f t="shared" si="10"/>
        <v>0</v>
      </c>
      <c r="AY17" s="20">
        <f t="shared" si="7"/>
        <v>0</v>
      </c>
      <c r="AZ17" s="20">
        <f t="shared" si="10"/>
        <v>0</v>
      </c>
      <c r="BA17" s="20">
        <f t="shared" si="10"/>
        <v>0</v>
      </c>
      <c r="BB17" s="20">
        <f t="shared" si="10"/>
        <v>0</v>
      </c>
      <c r="BC17" s="20">
        <f t="shared" si="10"/>
        <v>0</v>
      </c>
      <c r="BD17" s="20">
        <f t="shared" si="10"/>
        <v>0</v>
      </c>
      <c r="BE17" s="20">
        <f t="shared" si="10"/>
        <v>0</v>
      </c>
      <c r="BF17" s="20">
        <f t="shared" si="10"/>
        <v>0</v>
      </c>
      <c r="BG17" s="20">
        <f t="shared" si="10"/>
        <v>0</v>
      </c>
      <c r="BH17" s="20">
        <f t="shared" si="10"/>
        <v>0</v>
      </c>
      <c r="BI17" s="20">
        <f t="shared" si="10"/>
        <v>0</v>
      </c>
      <c r="BJ17" s="20">
        <f t="shared" si="10"/>
        <v>0</v>
      </c>
      <c r="BK17" s="20">
        <f t="shared" si="8"/>
        <v>0</v>
      </c>
      <c r="BL17" s="20">
        <f t="shared" si="10"/>
        <v>0</v>
      </c>
      <c r="BM17" s="20">
        <f t="shared" si="10"/>
        <v>0</v>
      </c>
      <c r="BN17" s="20">
        <f t="shared" si="10"/>
        <v>0</v>
      </c>
      <c r="BO17" s="20">
        <f t="shared" si="10"/>
        <v>0</v>
      </c>
      <c r="BP17" s="20">
        <f t="shared" si="10"/>
        <v>0</v>
      </c>
      <c r="BQ17" s="20">
        <f t="shared" si="10"/>
        <v>0</v>
      </c>
      <c r="BR17" s="20">
        <f t="shared" si="10"/>
        <v>0</v>
      </c>
      <c r="BS17" s="20">
        <f t="shared" si="10"/>
        <v>0</v>
      </c>
      <c r="BT17" s="20">
        <f t="shared" si="10"/>
        <v>0</v>
      </c>
      <c r="BU17" s="20">
        <f t="shared" si="10"/>
        <v>0</v>
      </c>
      <c r="BV17" s="20">
        <f t="shared" si="10"/>
        <v>0</v>
      </c>
    </row>
    <row r="18" spans="1:74" s="10" customFormat="1" hidden="1" outlineLevel="1">
      <c r="I18" s="109"/>
      <c r="J18" s="384"/>
      <c r="K18" s="60"/>
      <c r="L18" s="60"/>
      <c r="M18" s="60"/>
      <c r="N18" s="60"/>
      <c r="O18" s="22">
        <f t="shared" si="3"/>
        <v>0</v>
      </c>
      <c r="P18" s="20">
        <f t="shared" si="4"/>
        <v>0</v>
      </c>
      <c r="Q18" s="20">
        <f t="shared" si="10"/>
        <v>0</v>
      </c>
      <c r="R18" s="20">
        <f t="shared" si="10"/>
        <v>0</v>
      </c>
      <c r="S18" s="20">
        <f t="shared" si="10"/>
        <v>0</v>
      </c>
      <c r="T18" s="20">
        <f t="shared" si="10"/>
        <v>0</v>
      </c>
      <c r="U18" s="20">
        <f t="shared" si="10"/>
        <v>0</v>
      </c>
      <c r="V18" s="20">
        <f t="shared" si="10"/>
        <v>0</v>
      </c>
      <c r="W18" s="20">
        <f t="shared" si="10"/>
        <v>0</v>
      </c>
      <c r="X18" s="20">
        <f t="shared" si="10"/>
        <v>0</v>
      </c>
      <c r="Y18" s="20">
        <f t="shared" si="10"/>
        <v>0</v>
      </c>
      <c r="Z18" s="20">
        <f t="shared" si="10"/>
        <v>0</v>
      </c>
      <c r="AA18" s="20">
        <f t="shared" si="5"/>
        <v>0</v>
      </c>
      <c r="AB18" s="20">
        <f t="shared" si="10"/>
        <v>0</v>
      </c>
      <c r="AC18" s="20">
        <f t="shared" si="10"/>
        <v>0</v>
      </c>
      <c r="AD18" s="20">
        <f t="shared" si="10"/>
        <v>0</v>
      </c>
      <c r="AE18" s="20">
        <f t="shared" si="10"/>
        <v>0</v>
      </c>
      <c r="AF18" s="20">
        <f t="shared" si="10"/>
        <v>0</v>
      </c>
      <c r="AG18" s="20">
        <f t="shared" si="10"/>
        <v>0</v>
      </c>
      <c r="AH18" s="20">
        <f t="shared" si="10"/>
        <v>0</v>
      </c>
      <c r="AI18" s="20">
        <f t="shared" si="10"/>
        <v>0</v>
      </c>
      <c r="AJ18" s="20">
        <f t="shared" si="10"/>
        <v>0</v>
      </c>
      <c r="AK18" s="20">
        <f t="shared" si="10"/>
        <v>0</v>
      </c>
      <c r="AL18" s="20">
        <f t="shared" si="10"/>
        <v>0</v>
      </c>
      <c r="AM18" s="20">
        <f t="shared" si="6"/>
        <v>0</v>
      </c>
      <c r="AN18" s="20">
        <f t="shared" si="10"/>
        <v>0</v>
      </c>
      <c r="AO18" s="20">
        <f t="shared" si="10"/>
        <v>0</v>
      </c>
      <c r="AP18" s="20">
        <f t="shared" si="10"/>
        <v>0</v>
      </c>
      <c r="AQ18" s="20">
        <f t="shared" ref="AQ18:BV18" si="11">AP18</f>
        <v>0</v>
      </c>
      <c r="AR18" s="20">
        <f t="shared" si="11"/>
        <v>0</v>
      </c>
      <c r="AS18" s="20">
        <f t="shared" si="11"/>
        <v>0</v>
      </c>
      <c r="AT18" s="20">
        <f t="shared" si="11"/>
        <v>0</v>
      </c>
      <c r="AU18" s="20">
        <f t="shared" si="11"/>
        <v>0</v>
      </c>
      <c r="AV18" s="20">
        <f t="shared" si="11"/>
        <v>0</v>
      </c>
      <c r="AW18" s="20">
        <f t="shared" si="11"/>
        <v>0</v>
      </c>
      <c r="AX18" s="20">
        <f t="shared" si="11"/>
        <v>0</v>
      </c>
      <c r="AY18" s="20">
        <f t="shared" si="7"/>
        <v>0</v>
      </c>
      <c r="AZ18" s="20">
        <f t="shared" si="11"/>
        <v>0</v>
      </c>
      <c r="BA18" s="20">
        <f t="shared" si="11"/>
        <v>0</v>
      </c>
      <c r="BB18" s="20">
        <f t="shared" si="11"/>
        <v>0</v>
      </c>
      <c r="BC18" s="20">
        <f t="shared" si="11"/>
        <v>0</v>
      </c>
      <c r="BD18" s="20">
        <f t="shared" si="11"/>
        <v>0</v>
      </c>
      <c r="BE18" s="20">
        <f t="shared" si="11"/>
        <v>0</v>
      </c>
      <c r="BF18" s="20">
        <f t="shared" si="11"/>
        <v>0</v>
      </c>
      <c r="BG18" s="20">
        <f t="shared" si="11"/>
        <v>0</v>
      </c>
      <c r="BH18" s="20">
        <f t="shared" si="11"/>
        <v>0</v>
      </c>
      <c r="BI18" s="20">
        <f t="shared" si="11"/>
        <v>0</v>
      </c>
      <c r="BJ18" s="20">
        <f t="shared" si="11"/>
        <v>0</v>
      </c>
      <c r="BK18" s="20">
        <f t="shared" si="8"/>
        <v>0</v>
      </c>
      <c r="BL18" s="20">
        <f t="shared" si="11"/>
        <v>0</v>
      </c>
      <c r="BM18" s="20">
        <f t="shared" si="11"/>
        <v>0</v>
      </c>
      <c r="BN18" s="20">
        <f t="shared" si="11"/>
        <v>0</v>
      </c>
      <c r="BO18" s="20">
        <f t="shared" si="11"/>
        <v>0</v>
      </c>
      <c r="BP18" s="20">
        <f t="shared" si="11"/>
        <v>0</v>
      </c>
      <c r="BQ18" s="20">
        <f t="shared" si="11"/>
        <v>0</v>
      </c>
      <c r="BR18" s="20">
        <f t="shared" si="11"/>
        <v>0</v>
      </c>
      <c r="BS18" s="20">
        <f t="shared" si="11"/>
        <v>0</v>
      </c>
      <c r="BT18" s="20">
        <f t="shared" si="11"/>
        <v>0</v>
      </c>
      <c r="BU18" s="20">
        <f t="shared" si="11"/>
        <v>0</v>
      </c>
      <c r="BV18" s="20">
        <f t="shared" si="11"/>
        <v>0</v>
      </c>
    </row>
    <row r="19" spans="1:74" s="10" customFormat="1" outlineLevel="1">
      <c r="I19" s="52"/>
      <c r="J19" s="52"/>
      <c r="K19" s="52"/>
      <c r="L19" s="52"/>
      <c r="M19" s="52"/>
      <c r="N19" s="52"/>
      <c r="O19" s="53">
        <f t="shared" ref="O19:BU19" si="12">SUM(O5:O18)</f>
        <v>517500</v>
      </c>
      <c r="P19" s="53">
        <f t="shared" si="12"/>
        <v>517500</v>
      </c>
      <c r="Q19" s="53">
        <f t="shared" si="12"/>
        <v>517500</v>
      </c>
      <c r="R19" s="53">
        <f t="shared" si="12"/>
        <v>517500</v>
      </c>
      <c r="S19" s="53">
        <f t="shared" si="12"/>
        <v>517500</v>
      </c>
      <c r="T19" s="53">
        <f t="shared" si="12"/>
        <v>517500</v>
      </c>
      <c r="U19" s="53">
        <f t="shared" si="12"/>
        <v>517500</v>
      </c>
      <c r="V19" s="53">
        <f t="shared" si="12"/>
        <v>517500</v>
      </c>
      <c r="W19" s="53">
        <f t="shared" si="12"/>
        <v>517500</v>
      </c>
      <c r="X19" s="53">
        <f t="shared" si="12"/>
        <v>517500</v>
      </c>
      <c r="Y19" s="53">
        <f t="shared" si="12"/>
        <v>517500</v>
      </c>
      <c r="Z19" s="53">
        <f t="shared" si="12"/>
        <v>517500</v>
      </c>
      <c r="AA19" s="53">
        <f t="shared" si="12"/>
        <v>885625</v>
      </c>
      <c r="AB19" s="53">
        <f t="shared" si="12"/>
        <v>885625</v>
      </c>
      <c r="AC19" s="53">
        <f t="shared" si="12"/>
        <v>885625</v>
      </c>
      <c r="AD19" s="53">
        <f t="shared" si="12"/>
        <v>885625</v>
      </c>
      <c r="AE19" s="53">
        <f t="shared" si="12"/>
        <v>885625</v>
      </c>
      <c r="AF19" s="53">
        <f t="shared" si="12"/>
        <v>885625</v>
      </c>
      <c r="AG19" s="53">
        <f t="shared" si="12"/>
        <v>885625</v>
      </c>
      <c r="AH19" s="53">
        <f t="shared" si="12"/>
        <v>885625</v>
      </c>
      <c r="AI19" s="53">
        <f t="shared" si="12"/>
        <v>885625</v>
      </c>
      <c r="AJ19" s="53">
        <f t="shared" si="12"/>
        <v>885625</v>
      </c>
      <c r="AK19" s="53">
        <f t="shared" si="12"/>
        <v>885625</v>
      </c>
      <c r="AL19" s="53">
        <f t="shared" si="12"/>
        <v>885625</v>
      </c>
      <c r="AM19" s="53">
        <f t="shared" si="12"/>
        <v>1578281.25</v>
      </c>
      <c r="AN19" s="53">
        <f t="shared" si="12"/>
        <v>1578281.25</v>
      </c>
      <c r="AO19" s="53">
        <f t="shared" si="12"/>
        <v>1578281.25</v>
      </c>
      <c r="AP19" s="53">
        <f t="shared" si="12"/>
        <v>1578281.25</v>
      </c>
      <c r="AQ19" s="53">
        <f t="shared" si="12"/>
        <v>1578281.25</v>
      </c>
      <c r="AR19" s="53">
        <f t="shared" si="12"/>
        <v>1578281.25</v>
      </c>
      <c r="AS19" s="53">
        <f t="shared" si="12"/>
        <v>1578281.25</v>
      </c>
      <c r="AT19" s="53">
        <f t="shared" si="12"/>
        <v>1578281.25</v>
      </c>
      <c r="AU19" s="53">
        <f t="shared" si="12"/>
        <v>1578281.25</v>
      </c>
      <c r="AV19" s="53">
        <f t="shared" si="12"/>
        <v>1578281.25</v>
      </c>
      <c r="AW19" s="53">
        <f t="shared" si="12"/>
        <v>1578281.25</v>
      </c>
      <c r="AX19" s="53">
        <f t="shared" si="12"/>
        <v>1578281.25</v>
      </c>
      <c r="AY19" s="53">
        <f t="shared" si="12"/>
        <v>2904414.0625</v>
      </c>
      <c r="AZ19" s="53">
        <f t="shared" si="12"/>
        <v>2904414.0625</v>
      </c>
      <c r="BA19" s="53">
        <f t="shared" si="12"/>
        <v>2904414.0625</v>
      </c>
      <c r="BB19" s="53">
        <f t="shared" si="12"/>
        <v>2904414.0625</v>
      </c>
      <c r="BC19" s="53">
        <f t="shared" si="12"/>
        <v>2904414.0625</v>
      </c>
      <c r="BD19" s="53">
        <f t="shared" si="12"/>
        <v>2904414.0625</v>
      </c>
      <c r="BE19" s="53">
        <f t="shared" si="12"/>
        <v>2904414.0625</v>
      </c>
      <c r="BF19" s="53">
        <f t="shared" si="12"/>
        <v>2904414.0625</v>
      </c>
      <c r="BG19" s="53">
        <f t="shared" si="12"/>
        <v>2904414.0625</v>
      </c>
      <c r="BH19" s="53">
        <f t="shared" si="12"/>
        <v>2904414.0625</v>
      </c>
      <c r="BI19" s="53">
        <f t="shared" si="12"/>
        <v>2904414.0625</v>
      </c>
      <c r="BJ19" s="53">
        <f t="shared" si="12"/>
        <v>2904414.0625</v>
      </c>
      <c r="BK19" s="53">
        <f t="shared" si="12"/>
        <v>5474501.953125</v>
      </c>
      <c r="BL19" s="53">
        <f t="shared" si="12"/>
        <v>5474501.953125</v>
      </c>
      <c r="BM19" s="53">
        <f t="shared" si="12"/>
        <v>5474501.953125</v>
      </c>
      <c r="BN19" s="53">
        <f t="shared" si="12"/>
        <v>5474501.953125</v>
      </c>
      <c r="BO19" s="53">
        <f t="shared" si="12"/>
        <v>5474501.953125</v>
      </c>
      <c r="BP19" s="53">
        <f t="shared" si="12"/>
        <v>5474501.953125</v>
      </c>
      <c r="BQ19" s="53">
        <f t="shared" si="12"/>
        <v>5474501.953125</v>
      </c>
      <c r="BR19" s="53">
        <f t="shared" si="12"/>
        <v>5474501.953125</v>
      </c>
      <c r="BS19" s="53">
        <f t="shared" si="12"/>
        <v>5474501.953125</v>
      </c>
      <c r="BT19" s="53">
        <f t="shared" si="12"/>
        <v>5474501.953125</v>
      </c>
      <c r="BU19" s="53">
        <f t="shared" si="12"/>
        <v>5474501.953125</v>
      </c>
      <c r="BV19" s="53">
        <f>SUM(BV5:BV18)</f>
        <v>5474501.953125</v>
      </c>
    </row>
    <row r="20" spans="1:74" s="10" customFormat="1" hidden="1" outlineLevel="1"/>
    <row r="21" spans="1:74" s="10" customFormat="1" ht="20" hidden="1">
      <c r="A21" s="125" t="s">
        <v>134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6"/>
      <c r="BO21" s="136"/>
      <c r="BP21" s="136"/>
      <c r="BQ21" s="136"/>
      <c r="BR21" s="136"/>
      <c r="BS21" s="136"/>
      <c r="BT21" s="136"/>
      <c r="BU21" s="136"/>
      <c r="BV21" s="136"/>
    </row>
    <row r="22" spans="1:74" s="27" customFormat="1" hidden="1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</row>
    <row r="23" spans="1:74" s="10" customFormat="1" hidden="1" outlineLevel="1">
      <c r="B23" s="66"/>
      <c r="C23" s="381">
        <f>O23</f>
        <v>45261</v>
      </c>
      <c r="D23" s="381">
        <f>EDATE(C23,12)</f>
        <v>45627</v>
      </c>
      <c r="E23" s="381">
        <f t="shared" ref="E23:G23" si="13">EDATE(D23,12)</f>
        <v>45992</v>
      </c>
      <c r="F23" s="381">
        <f t="shared" si="13"/>
        <v>46357</v>
      </c>
      <c r="G23" s="381">
        <f t="shared" si="13"/>
        <v>46722</v>
      </c>
      <c r="H23" s="28"/>
      <c r="I23" s="133"/>
      <c r="J23" s="535" t="s">
        <v>243</v>
      </c>
      <c r="K23" s="535"/>
      <c r="L23" s="535"/>
      <c r="M23" s="535"/>
      <c r="N23" s="535"/>
      <c r="O23" s="535">
        <f>'2) Assumptions'!$D$2</f>
        <v>45261</v>
      </c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>
        <f>'2) Assumptions'!$E$2</f>
        <v>45627</v>
      </c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>
        <f>'2) Assumptions'!$F$2</f>
        <v>45992</v>
      </c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>
        <f>'2) Assumptions'!$G$2</f>
        <v>46357</v>
      </c>
      <c r="AZ23" s="535"/>
      <c r="BA23" s="535"/>
      <c r="BB23" s="535"/>
      <c r="BC23" s="535"/>
      <c r="BD23" s="535"/>
      <c r="BE23" s="535"/>
      <c r="BF23" s="535"/>
      <c r="BG23" s="535"/>
      <c r="BH23" s="535"/>
      <c r="BI23" s="535"/>
      <c r="BJ23" s="535"/>
      <c r="BK23" s="535">
        <f>'2) Assumptions'!$H$2</f>
        <v>46722</v>
      </c>
      <c r="BL23" s="535"/>
      <c r="BM23" s="535"/>
      <c r="BN23" s="535"/>
      <c r="BO23" s="535"/>
      <c r="BP23" s="535"/>
      <c r="BQ23" s="535"/>
      <c r="BR23" s="535"/>
      <c r="BS23" s="535"/>
      <c r="BT23" s="535"/>
      <c r="BU23" s="535"/>
      <c r="BV23" s="535"/>
    </row>
    <row r="24" spans="1:74" s="10" customFormat="1" hidden="1" outlineLevel="1">
      <c r="B24" s="63" t="s">
        <v>30</v>
      </c>
      <c r="C24" s="329">
        <f>SUM(O54:Z54)</f>
        <v>0</v>
      </c>
      <c r="D24" s="329">
        <f>SUM(AA54:AL54)</f>
        <v>0</v>
      </c>
      <c r="E24" s="329">
        <f>SUM(AM54:AX54)</f>
        <v>0</v>
      </c>
      <c r="F24" s="329">
        <f>SUM(AY54:BJ54)</f>
        <v>0</v>
      </c>
      <c r="G24" s="329">
        <f>SUM(BK54:BV54)</f>
        <v>0</v>
      </c>
      <c r="H24" s="28"/>
      <c r="I24" s="349" t="s">
        <v>243</v>
      </c>
      <c r="J24" s="379">
        <f>EDATE(O23,0)</f>
        <v>45261</v>
      </c>
      <c r="K24" s="379">
        <f>EDATE(J24,12)</f>
        <v>45627</v>
      </c>
      <c r="L24" s="379">
        <f>EDATE(K24,12)</f>
        <v>45992</v>
      </c>
      <c r="M24" s="379">
        <f t="shared" ref="M24:N24" si="14">EDATE(L24,12)</f>
        <v>46357</v>
      </c>
      <c r="N24" s="379">
        <f t="shared" si="14"/>
        <v>46722</v>
      </c>
      <c r="O24" s="135">
        <f>EDATE('2) Assumptions'!$D$5,0)</f>
        <v>44927</v>
      </c>
      <c r="P24" s="135">
        <f>EDATE('2) Assumptions'!$D$5,1)</f>
        <v>44958</v>
      </c>
      <c r="Q24" s="135">
        <f>EDATE('2) Assumptions'!$D$5,2)</f>
        <v>44986</v>
      </c>
      <c r="R24" s="135">
        <f>EDATE('2) Assumptions'!$D$5,3)</f>
        <v>45017</v>
      </c>
      <c r="S24" s="135">
        <f>EDATE('2) Assumptions'!$D$5,4)</f>
        <v>45047</v>
      </c>
      <c r="T24" s="135">
        <f>EDATE('2) Assumptions'!$D$5,5)</f>
        <v>45078</v>
      </c>
      <c r="U24" s="135">
        <f>EDATE('2) Assumptions'!$D$5,6)</f>
        <v>45108</v>
      </c>
      <c r="V24" s="135">
        <f>EDATE('2) Assumptions'!$D$5,7)</f>
        <v>45139</v>
      </c>
      <c r="W24" s="135">
        <f>EDATE('2) Assumptions'!$D$5,8)</f>
        <v>45170</v>
      </c>
      <c r="X24" s="135">
        <f>EDATE('2) Assumptions'!$D$5,9)</f>
        <v>45200</v>
      </c>
      <c r="Y24" s="135">
        <f>EDATE('2) Assumptions'!$D$5,10)</f>
        <v>45231</v>
      </c>
      <c r="Z24" s="135">
        <f>EDATE('2) Assumptions'!$D$5,11)</f>
        <v>45261</v>
      </c>
      <c r="AA24" s="135">
        <f>EDATE('2) Assumptions'!$D$5,0)</f>
        <v>44927</v>
      </c>
      <c r="AB24" s="135">
        <f>EDATE('2) Assumptions'!$D$5,1)</f>
        <v>44958</v>
      </c>
      <c r="AC24" s="135">
        <f>EDATE('2) Assumptions'!$D$5,2)</f>
        <v>44986</v>
      </c>
      <c r="AD24" s="135">
        <f>EDATE('2) Assumptions'!$D$5,3)</f>
        <v>45017</v>
      </c>
      <c r="AE24" s="135">
        <f>EDATE('2) Assumptions'!$D$5,4)</f>
        <v>45047</v>
      </c>
      <c r="AF24" s="135">
        <f>EDATE('2) Assumptions'!$D$5,5)</f>
        <v>45078</v>
      </c>
      <c r="AG24" s="135">
        <f>EDATE('2) Assumptions'!$D$5,6)</f>
        <v>45108</v>
      </c>
      <c r="AH24" s="135">
        <f>EDATE('2) Assumptions'!$D$5,7)</f>
        <v>45139</v>
      </c>
      <c r="AI24" s="135">
        <f>EDATE('2) Assumptions'!$D$5,8)</f>
        <v>45170</v>
      </c>
      <c r="AJ24" s="135">
        <f>EDATE('2) Assumptions'!$D$5,9)</f>
        <v>45200</v>
      </c>
      <c r="AK24" s="135">
        <f>EDATE('2) Assumptions'!$D$5,10)</f>
        <v>45231</v>
      </c>
      <c r="AL24" s="135">
        <f>EDATE('2) Assumptions'!$D$5,11)</f>
        <v>45261</v>
      </c>
      <c r="AM24" s="135">
        <f>EDATE('2) Assumptions'!$D$5,0)</f>
        <v>44927</v>
      </c>
      <c r="AN24" s="135">
        <f>EDATE('2) Assumptions'!$D$5,1)</f>
        <v>44958</v>
      </c>
      <c r="AO24" s="135">
        <f>EDATE('2) Assumptions'!$D$5,2)</f>
        <v>44986</v>
      </c>
      <c r="AP24" s="135">
        <f>EDATE('2) Assumptions'!$D$5,3)</f>
        <v>45017</v>
      </c>
      <c r="AQ24" s="135">
        <f>EDATE('2) Assumptions'!$D$5,4)</f>
        <v>45047</v>
      </c>
      <c r="AR24" s="135">
        <f>EDATE('2) Assumptions'!$D$5,5)</f>
        <v>45078</v>
      </c>
      <c r="AS24" s="135">
        <f>EDATE('2) Assumptions'!$D$5,6)</f>
        <v>45108</v>
      </c>
      <c r="AT24" s="135">
        <f>EDATE('2) Assumptions'!$D$5,7)</f>
        <v>45139</v>
      </c>
      <c r="AU24" s="135">
        <f>EDATE('2) Assumptions'!$D$5,8)</f>
        <v>45170</v>
      </c>
      <c r="AV24" s="135">
        <f>EDATE('2) Assumptions'!$D$5,9)</f>
        <v>45200</v>
      </c>
      <c r="AW24" s="135">
        <f>EDATE('2) Assumptions'!$D$5,10)</f>
        <v>45231</v>
      </c>
      <c r="AX24" s="135">
        <f>EDATE('2) Assumptions'!$D$5,11)</f>
        <v>45261</v>
      </c>
      <c r="AY24" s="135">
        <f>EDATE('2) Assumptions'!$D$5,0)</f>
        <v>44927</v>
      </c>
      <c r="AZ24" s="135">
        <f>EDATE('2) Assumptions'!$D$5,1)</f>
        <v>44958</v>
      </c>
      <c r="BA24" s="135">
        <f>EDATE('2) Assumptions'!$D$5,2)</f>
        <v>44986</v>
      </c>
      <c r="BB24" s="135">
        <f>EDATE('2) Assumptions'!$D$5,3)</f>
        <v>45017</v>
      </c>
      <c r="BC24" s="135">
        <f>EDATE('2) Assumptions'!$D$5,4)</f>
        <v>45047</v>
      </c>
      <c r="BD24" s="135">
        <f>EDATE('2) Assumptions'!$D$5,5)</f>
        <v>45078</v>
      </c>
      <c r="BE24" s="135">
        <f>EDATE('2) Assumptions'!$D$5,6)</f>
        <v>45108</v>
      </c>
      <c r="BF24" s="135">
        <f>EDATE('2) Assumptions'!$D$5,7)</f>
        <v>45139</v>
      </c>
      <c r="BG24" s="135">
        <f>EDATE('2) Assumptions'!$D$5,8)</f>
        <v>45170</v>
      </c>
      <c r="BH24" s="135">
        <f>EDATE('2) Assumptions'!$D$5,9)</f>
        <v>45200</v>
      </c>
      <c r="BI24" s="135">
        <f>EDATE('2) Assumptions'!$D$5,10)</f>
        <v>45231</v>
      </c>
      <c r="BJ24" s="135">
        <f>EDATE('2) Assumptions'!$D$5,11)</f>
        <v>45261</v>
      </c>
      <c r="BK24" s="135">
        <f>EDATE('2) Assumptions'!$D$5,0)</f>
        <v>44927</v>
      </c>
      <c r="BL24" s="135">
        <f>EDATE('2) Assumptions'!$D$5,1)</f>
        <v>44958</v>
      </c>
      <c r="BM24" s="135">
        <f>EDATE('2) Assumptions'!$D$5,2)</f>
        <v>44986</v>
      </c>
      <c r="BN24" s="135">
        <f>EDATE('2) Assumptions'!$D$5,3)</f>
        <v>45017</v>
      </c>
      <c r="BO24" s="135">
        <f>EDATE('2) Assumptions'!$D$5,4)</f>
        <v>45047</v>
      </c>
      <c r="BP24" s="135">
        <f>EDATE('2) Assumptions'!$D$5,5)</f>
        <v>45078</v>
      </c>
      <c r="BQ24" s="135">
        <f>EDATE('2) Assumptions'!$D$5,6)</f>
        <v>45108</v>
      </c>
      <c r="BR24" s="135">
        <f>EDATE('2) Assumptions'!$D$5,7)</f>
        <v>45139</v>
      </c>
      <c r="BS24" s="135">
        <f>EDATE('2) Assumptions'!$D$5,8)</f>
        <v>45170</v>
      </c>
      <c r="BT24" s="135">
        <f>EDATE('2) Assumptions'!$D$5,9)</f>
        <v>45200</v>
      </c>
      <c r="BU24" s="135">
        <f>EDATE('2) Assumptions'!$D$5,10)</f>
        <v>45231</v>
      </c>
      <c r="BV24" s="135">
        <f>EDATE('2) Assumptions'!$D$5,11)</f>
        <v>45261</v>
      </c>
    </row>
    <row r="25" spans="1:74" s="10" customFormat="1" hidden="1" outlineLevel="1">
      <c r="B25" s="386"/>
      <c r="C25" s="382"/>
      <c r="D25" s="329"/>
      <c r="E25" s="329"/>
      <c r="F25" s="329"/>
      <c r="H25" s="28"/>
      <c r="I25" s="106" t="s">
        <v>231</v>
      </c>
      <c r="J25" s="384"/>
      <c r="K25" s="384"/>
      <c r="L25" s="384"/>
      <c r="M25" s="384"/>
      <c r="N25" s="384"/>
      <c r="O25" s="22">
        <f t="shared" ref="O25:O32" si="15">$J25*O36</f>
        <v>0</v>
      </c>
      <c r="P25" s="22">
        <f t="shared" ref="P25:Z25" si="16">$J25*P36</f>
        <v>0</v>
      </c>
      <c r="Q25" s="22">
        <f t="shared" si="16"/>
        <v>0</v>
      </c>
      <c r="R25" s="22">
        <f t="shared" si="16"/>
        <v>0</v>
      </c>
      <c r="S25" s="22">
        <f t="shared" si="16"/>
        <v>0</v>
      </c>
      <c r="T25" s="22">
        <f t="shared" si="16"/>
        <v>0</v>
      </c>
      <c r="U25" s="22">
        <f t="shared" si="16"/>
        <v>0</v>
      </c>
      <c r="V25" s="22">
        <f t="shared" si="16"/>
        <v>0</v>
      </c>
      <c r="W25" s="22">
        <f t="shared" si="16"/>
        <v>0</v>
      </c>
      <c r="X25" s="22">
        <f t="shared" si="16"/>
        <v>0</v>
      </c>
      <c r="Y25" s="22">
        <f t="shared" si="16"/>
        <v>0</v>
      </c>
      <c r="Z25" s="22">
        <f t="shared" si="16"/>
        <v>0</v>
      </c>
      <c r="AA25" s="22">
        <f t="shared" ref="AA25:AA32" si="17">$K25*AA36</f>
        <v>0</v>
      </c>
      <c r="AB25" s="22">
        <f t="shared" ref="AB25:AL25" si="18">$K25*AB36</f>
        <v>0</v>
      </c>
      <c r="AC25" s="22">
        <f t="shared" si="18"/>
        <v>0</v>
      </c>
      <c r="AD25" s="22">
        <f t="shared" si="18"/>
        <v>0</v>
      </c>
      <c r="AE25" s="22">
        <f t="shared" si="18"/>
        <v>0</v>
      </c>
      <c r="AF25" s="22">
        <f t="shared" si="18"/>
        <v>0</v>
      </c>
      <c r="AG25" s="22">
        <f t="shared" si="18"/>
        <v>0</v>
      </c>
      <c r="AH25" s="22">
        <f t="shared" si="18"/>
        <v>0</v>
      </c>
      <c r="AI25" s="22">
        <f t="shared" si="18"/>
        <v>0</v>
      </c>
      <c r="AJ25" s="22">
        <f t="shared" si="18"/>
        <v>0</v>
      </c>
      <c r="AK25" s="22">
        <f t="shared" si="18"/>
        <v>0</v>
      </c>
      <c r="AL25" s="22">
        <f t="shared" si="18"/>
        <v>0</v>
      </c>
      <c r="AM25" s="22">
        <f t="shared" ref="AM25:AX25" si="19">$L25*AM36</f>
        <v>0</v>
      </c>
      <c r="AN25" s="22">
        <f t="shared" si="19"/>
        <v>0</v>
      </c>
      <c r="AO25" s="22">
        <f t="shared" si="19"/>
        <v>0</v>
      </c>
      <c r="AP25" s="22">
        <f t="shared" si="19"/>
        <v>0</v>
      </c>
      <c r="AQ25" s="22">
        <f t="shared" si="19"/>
        <v>0</v>
      </c>
      <c r="AR25" s="22">
        <f t="shared" si="19"/>
        <v>0</v>
      </c>
      <c r="AS25" s="22">
        <f t="shared" si="19"/>
        <v>0</v>
      </c>
      <c r="AT25" s="22">
        <f t="shared" si="19"/>
        <v>0</v>
      </c>
      <c r="AU25" s="22">
        <f t="shared" si="19"/>
        <v>0</v>
      </c>
      <c r="AV25" s="22">
        <f t="shared" si="19"/>
        <v>0</v>
      </c>
      <c r="AW25" s="22">
        <f t="shared" si="19"/>
        <v>0</v>
      </c>
      <c r="AX25" s="22">
        <f t="shared" si="19"/>
        <v>0</v>
      </c>
      <c r="AY25" s="22">
        <f t="shared" ref="AY25:BJ25" si="20">$M25*AY36</f>
        <v>0</v>
      </c>
      <c r="AZ25" s="22">
        <f t="shared" si="20"/>
        <v>0</v>
      </c>
      <c r="BA25" s="22">
        <f t="shared" si="20"/>
        <v>0</v>
      </c>
      <c r="BB25" s="22">
        <f t="shared" si="20"/>
        <v>0</v>
      </c>
      <c r="BC25" s="22">
        <f t="shared" si="20"/>
        <v>0</v>
      </c>
      <c r="BD25" s="22">
        <f t="shared" si="20"/>
        <v>0</v>
      </c>
      <c r="BE25" s="22">
        <f t="shared" si="20"/>
        <v>0</v>
      </c>
      <c r="BF25" s="22">
        <f t="shared" si="20"/>
        <v>0</v>
      </c>
      <c r="BG25" s="22">
        <f t="shared" si="20"/>
        <v>0</v>
      </c>
      <c r="BH25" s="22">
        <f t="shared" si="20"/>
        <v>0</v>
      </c>
      <c r="BI25" s="22">
        <f t="shared" si="20"/>
        <v>0</v>
      </c>
      <c r="BJ25" s="22">
        <f t="shared" si="20"/>
        <v>0</v>
      </c>
      <c r="BK25" s="22">
        <f t="shared" ref="BK25:BK32" si="21">$N25*BK36</f>
        <v>0</v>
      </c>
      <c r="BL25" s="22">
        <f t="shared" ref="BL25:BV25" si="22">$N25*BL36</f>
        <v>0</v>
      </c>
      <c r="BM25" s="22">
        <f t="shared" si="22"/>
        <v>0</v>
      </c>
      <c r="BN25" s="22">
        <f t="shared" si="22"/>
        <v>0</v>
      </c>
      <c r="BO25" s="22">
        <f t="shared" si="22"/>
        <v>0</v>
      </c>
      <c r="BP25" s="22">
        <f t="shared" si="22"/>
        <v>0</v>
      </c>
      <c r="BQ25" s="22">
        <f t="shared" si="22"/>
        <v>0</v>
      </c>
      <c r="BR25" s="22">
        <f t="shared" si="22"/>
        <v>0</v>
      </c>
      <c r="BS25" s="22">
        <f t="shared" si="22"/>
        <v>0</v>
      </c>
      <c r="BT25" s="22">
        <f t="shared" si="22"/>
        <v>0</v>
      </c>
      <c r="BU25" s="22">
        <f t="shared" si="22"/>
        <v>0</v>
      </c>
      <c r="BV25" s="22">
        <f t="shared" si="22"/>
        <v>0</v>
      </c>
    </row>
    <row r="26" spans="1:74" s="10" customFormat="1" hidden="1" outlineLevel="1">
      <c r="B26" s="358"/>
      <c r="D26" s="329"/>
      <c r="E26" s="329"/>
      <c r="F26" s="329"/>
      <c r="H26" s="28"/>
      <c r="I26" s="106" t="s">
        <v>232</v>
      </c>
      <c r="J26" s="384"/>
      <c r="K26" s="384"/>
      <c r="L26" s="384"/>
      <c r="M26" s="384"/>
      <c r="N26" s="384"/>
      <c r="O26" s="22">
        <f t="shared" si="15"/>
        <v>0</v>
      </c>
      <c r="P26" s="22">
        <f t="shared" ref="P26:Z26" si="23">$J26*P37</f>
        <v>0</v>
      </c>
      <c r="Q26" s="22">
        <f t="shared" si="23"/>
        <v>0</v>
      </c>
      <c r="R26" s="22">
        <f t="shared" si="23"/>
        <v>0</v>
      </c>
      <c r="S26" s="22">
        <f t="shared" si="23"/>
        <v>0</v>
      </c>
      <c r="T26" s="22">
        <f t="shared" si="23"/>
        <v>0</v>
      </c>
      <c r="U26" s="22">
        <f t="shared" si="23"/>
        <v>0</v>
      </c>
      <c r="V26" s="22">
        <f t="shared" si="23"/>
        <v>0</v>
      </c>
      <c r="W26" s="22">
        <f t="shared" si="23"/>
        <v>0</v>
      </c>
      <c r="X26" s="22">
        <f t="shared" si="23"/>
        <v>0</v>
      </c>
      <c r="Y26" s="22">
        <f t="shared" si="23"/>
        <v>0</v>
      </c>
      <c r="Z26" s="22">
        <f t="shared" si="23"/>
        <v>0</v>
      </c>
      <c r="AA26" s="22">
        <f t="shared" si="17"/>
        <v>0</v>
      </c>
      <c r="AB26" s="22">
        <f t="shared" ref="AB26:AL26" si="24">$K26*AB37</f>
        <v>0</v>
      </c>
      <c r="AC26" s="22">
        <f t="shared" si="24"/>
        <v>0</v>
      </c>
      <c r="AD26" s="22">
        <f t="shared" si="24"/>
        <v>0</v>
      </c>
      <c r="AE26" s="22">
        <f t="shared" si="24"/>
        <v>0</v>
      </c>
      <c r="AF26" s="22">
        <f t="shared" si="24"/>
        <v>0</v>
      </c>
      <c r="AG26" s="22">
        <f t="shared" si="24"/>
        <v>0</v>
      </c>
      <c r="AH26" s="22">
        <f t="shared" si="24"/>
        <v>0</v>
      </c>
      <c r="AI26" s="22">
        <f t="shared" si="24"/>
        <v>0</v>
      </c>
      <c r="AJ26" s="22">
        <f t="shared" si="24"/>
        <v>0</v>
      </c>
      <c r="AK26" s="22">
        <f t="shared" si="24"/>
        <v>0</v>
      </c>
      <c r="AL26" s="22">
        <f t="shared" si="24"/>
        <v>0</v>
      </c>
      <c r="AM26" s="22">
        <f t="shared" ref="AM26:AX26" si="25">$L26*AM37</f>
        <v>0</v>
      </c>
      <c r="AN26" s="22">
        <f t="shared" si="25"/>
        <v>0</v>
      </c>
      <c r="AO26" s="22">
        <f t="shared" si="25"/>
        <v>0</v>
      </c>
      <c r="AP26" s="22">
        <f t="shared" si="25"/>
        <v>0</v>
      </c>
      <c r="AQ26" s="22">
        <f t="shared" si="25"/>
        <v>0</v>
      </c>
      <c r="AR26" s="22">
        <f t="shared" si="25"/>
        <v>0</v>
      </c>
      <c r="AS26" s="22">
        <f t="shared" si="25"/>
        <v>0</v>
      </c>
      <c r="AT26" s="22">
        <f t="shared" si="25"/>
        <v>0</v>
      </c>
      <c r="AU26" s="22">
        <f t="shared" si="25"/>
        <v>0</v>
      </c>
      <c r="AV26" s="22">
        <f t="shared" si="25"/>
        <v>0</v>
      </c>
      <c r="AW26" s="22">
        <f t="shared" si="25"/>
        <v>0</v>
      </c>
      <c r="AX26" s="22">
        <f t="shared" si="25"/>
        <v>0</v>
      </c>
      <c r="AY26" s="22">
        <f t="shared" ref="AY26:BJ26" si="26">$M26*AY37</f>
        <v>0</v>
      </c>
      <c r="AZ26" s="22">
        <f t="shared" si="26"/>
        <v>0</v>
      </c>
      <c r="BA26" s="22">
        <f t="shared" si="26"/>
        <v>0</v>
      </c>
      <c r="BB26" s="22">
        <f t="shared" si="26"/>
        <v>0</v>
      </c>
      <c r="BC26" s="22">
        <f t="shared" si="26"/>
        <v>0</v>
      </c>
      <c r="BD26" s="22">
        <f t="shared" si="26"/>
        <v>0</v>
      </c>
      <c r="BE26" s="22">
        <f t="shared" si="26"/>
        <v>0</v>
      </c>
      <c r="BF26" s="22">
        <f t="shared" si="26"/>
        <v>0</v>
      </c>
      <c r="BG26" s="22">
        <f t="shared" si="26"/>
        <v>0</v>
      </c>
      <c r="BH26" s="22">
        <f t="shared" si="26"/>
        <v>0</v>
      </c>
      <c r="BI26" s="22">
        <f t="shared" si="26"/>
        <v>0</v>
      </c>
      <c r="BJ26" s="22">
        <f t="shared" si="26"/>
        <v>0</v>
      </c>
      <c r="BK26" s="22">
        <f t="shared" si="21"/>
        <v>0</v>
      </c>
      <c r="BL26" s="22">
        <f t="shared" ref="BL26:BV26" si="27">$N26*BL37</f>
        <v>0</v>
      </c>
      <c r="BM26" s="22">
        <f t="shared" si="27"/>
        <v>0</v>
      </c>
      <c r="BN26" s="22">
        <f t="shared" si="27"/>
        <v>0</v>
      </c>
      <c r="BO26" s="22">
        <f t="shared" si="27"/>
        <v>0</v>
      </c>
      <c r="BP26" s="22">
        <f t="shared" si="27"/>
        <v>0</v>
      </c>
      <c r="BQ26" s="22">
        <f t="shared" si="27"/>
        <v>0</v>
      </c>
      <c r="BR26" s="22">
        <f t="shared" si="27"/>
        <v>0</v>
      </c>
      <c r="BS26" s="22">
        <f t="shared" si="27"/>
        <v>0</v>
      </c>
      <c r="BT26" s="22">
        <f t="shared" si="27"/>
        <v>0</v>
      </c>
      <c r="BU26" s="22">
        <f t="shared" si="27"/>
        <v>0</v>
      </c>
      <c r="BV26" s="22">
        <f t="shared" si="27"/>
        <v>0</v>
      </c>
    </row>
    <row r="27" spans="1:74" s="10" customFormat="1" hidden="1" outlineLevel="1">
      <c r="B27" s="358"/>
      <c r="D27" s="329"/>
      <c r="E27" s="329"/>
      <c r="F27" s="329"/>
      <c r="H27" s="28"/>
      <c r="I27" s="106" t="s">
        <v>233</v>
      </c>
      <c r="J27" s="384"/>
      <c r="K27" s="384"/>
      <c r="L27" s="384"/>
      <c r="M27" s="384"/>
      <c r="N27" s="384"/>
      <c r="O27" s="22">
        <f t="shared" si="15"/>
        <v>0</v>
      </c>
      <c r="P27" s="22">
        <f t="shared" ref="P27:Z27" si="28">$J27*P38</f>
        <v>0</v>
      </c>
      <c r="Q27" s="22">
        <f t="shared" si="28"/>
        <v>0</v>
      </c>
      <c r="R27" s="22">
        <f t="shared" si="28"/>
        <v>0</v>
      </c>
      <c r="S27" s="22">
        <f t="shared" si="28"/>
        <v>0</v>
      </c>
      <c r="T27" s="22">
        <f t="shared" si="28"/>
        <v>0</v>
      </c>
      <c r="U27" s="22">
        <f t="shared" si="28"/>
        <v>0</v>
      </c>
      <c r="V27" s="22">
        <f t="shared" si="28"/>
        <v>0</v>
      </c>
      <c r="W27" s="22">
        <f t="shared" si="28"/>
        <v>0</v>
      </c>
      <c r="X27" s="22">
        <f t="shared" si="28"/>
        <v>0</v>
      </c>
      <c r="Y27" s="22">
        <f t="shared" si="28"/>
        <v>0</v>
      </c>
      <c r="Z27" s="22">
        <f t="shared" si="28"/>
        <v>0</v>
      </c>
      <c r="AA27" s="22">
        <f t="shared" si="17"/>
        <v>0</v>
      </c>
      <c r="AB27" s="22">
        <f t="shared" ref="AB27:AL27" si="29">$K27*AB38</f>
        <v>0</v>
      </c>
      <c r="AC27" s="22">
        <f t="shared" si="29"/>
        <v>0</v>
      </c>
      <c r="AD27" s="22">
        <f t="shared" si="29"/>
        <v>0</v>
      </c>
      <c r="AE27" s="22">
        <f t="shared" si="29"/>
        <v>0</v>
      </c>
      <c r="AF27" s="22">
        <f t="shared" si="29"/>
        <v>0</v>
      </c>
      <c r="AG27" s="22">
        <f t="shared" si="29"/>
        <v>0</v>
      </c>
      <c r="AH27" s="22">
        <f t="shared" si="29"/>
        <v>0</v>
      </c>
      <c r="AI27" s="22">
        <f t="shared" si="29"/>
        <v>0</v>
      </c>
      <c r="AJ27" s="22">
        <f t="shared" si="29"/>
        <v>0</v>
      </c>
      <c r="AK27" s="22">
        <f t="shared" si="29"/>
        <v>0</v>
      </c>
      <c r="AL27" s="22">
        <f t="shared" si="29"/>
        <v>0</v>
      </c>
      <c r="AM27" s="22">
        <f t="shared" ref="AM27:AX27" si="30">$L27*AM38</f>
        <v>0</v>
      </c>
      <c r="AN27" s="22">
        <f t="shared" si="30"/>
        <v>0</v>
      </c>
      <c r="AO27" s="22">
        <f t="shared" si="30"/>
        <v>0</v>
      </c>
      <c r="AP27" s="22">
        <f t="shared" si="30"/>
        <v>0</v>
      </c>
      <c r="AQ27" s="22">
        <f t="shared" si="30"/>
        <v>0</v>
      </c>
      <c r="AR27" s="22">
        <f t="shared" si="30"/>
        <v>0</v>
      </c>
      <c r="AS27" s="22">
        <f t="shared" si="30"/>
        <v>0</v>
      </c>
      <c r="AT27" s="22">
        <f t="shared" si="30"/>
        <v>0</v>
      </c>
      <c r="AU27" s="22">
        <f t="shared" si="30"/>
        <v>0</v>
      </c>
      <c r="AV27" s="22">
        <f t="shared" si="30"/>
        <v>0</v>
      </c>
      <c r="AW27" s="22">
        <f t="shared" si="30"/>
        <v>0</v>
      </c>
      <c r="AX27" s="22">
        <f t="shared" si="30"/>
        <v>0</v>
      </c>
      <c r="AY27" s="22">
        <f t="shared" ref="AY27:BJ27" si="31">$M27*AY38</f>
        <v>0</v>
      </c>
      <c r="AZ27" s="22">
        <f t="shared" si="31"/>
        <v>0</v>
      </c>
      <c r="BA27" s="22">
        <f t="shared" si="31"/>
        <v>0</v>
      </c>
      <c r="BB27" s="22">
        <f t="shared" si="31"/>
        <v>0</v>
      </c>
      <c r="BC27" s="22">
        <f t="shared" si="31"/>
        <v>0</v>
      </c>
      <c r="BD27" s="22">
        <f t="shared" si="31"/>
        <v>0</v>
      </c>
      <c r="BE27" s="22">
        <f t="shared" si="31"/>
        <v>0</v>
      </c>
      <c r="BF27" s="22">
        <f t="shared" si="31"/>
        <v>0</v>
      </c>
      <c r="BG27" s="22">
        <f t="shared" si="31"/>
        <v>0</v>
      </c>
      <c r="BH27" s="22">
        <f t="shared" si="31"/>
        <v>0</v>
      </c>
      <c r="BI27" s="22">
        <f t="shared" si="31"/>
        <v>0</v>
      </c>
      <c r="BJ27" s="22">
        <f t="shared" si="31"/>
        <v>0</v>
      </c>
      <c r="BK27" s="22">
        <f t="shared" si="21"/>
        <v>0</v>
      </c>
      <c r="BL27" s="22">
        <f t="shared" ref="BL27:BV27" si="32">$N27*BL38</f>
        <v>0</v>
      </c>
      <c r="BM27" s="22">
        <f t="shared" si="32"/>
        <v>0</v>
      </c>
      <c r="BN27" s="22">
        <f t="shared" si="32"/>
        <v>0</v>
      </c>
      <c r="BO27" s="22">
        <f t="shared" si="32"/>
        <v>0</v>
      </c>
      <c r="BP27" s="22">
        <f t="shared" si="32"/>
        <v>0</v>
      </c>
      <c r="BQ27" s="22">
        <f t="shared" si="32"/>
        <v>0</v>
      </c>
      <c r="BR27" s="22">
        <f t="shared" si="32"/>
        <v>0</v>
      </c>
      <c r="BS27" s="22">
        <f t="shared" si="32"/>
        <v>0</v>
      </c>
      <c r="BT27" s="22">
        <f t="shared" si="32"/>
        <v>0</v>
      </c>
      <c r="BU27" s="22">
        <f t="shared" si="32"/>
        <v>0</v>
      </c>
      <c r="BV27" s="22">
        <f t="shared" si="32"/>
        <v>0</v>
      </c>
    </row>
    <row r="28" spans="1:74" s="10" customFormat="1" hidden="1" outlineLevel="1">
      <c r="B28" s="358"/>
      <c r="D28" s="329"/>
      <c r="E28" s="329"/>
      <c r="F28" s="329"/>
      <c r="H28" s="28"/>
      <c r="I28" s="106" t="s">
        <v>234</v>
      </c>
      <c r="J28" s="384"/>
      <c r="K28" s="384"/>
      <c r="L28" s="384"/>
      <c r="M28" s="384"/>
      <c r="N28" s="384"/>
      <c r="O28" s="22">
        <f t="shared" si="15"/>
        <v>0</v>
      </c>
      <c r="P28" s="22">
        <f t="shared" ref="P28:Z28" si="33">$J28*P39</f>
        <v>0</v>
      </c>
      <c r="Q28" s="22">
        <f t="shared" si="33"/>
        <v>0</v>
      </c>
      <c r="R28" s="22">
        <f t="shared" si="33"/>
        <v>0</v>
      </c>
      <c r="S28" s="22">
        <f t="shared" si="33"/>
        <v>0</v>
      </c>
      <c r="T28" s="22">
        <f t="shared" si="33"/>
        <v>0</v>
      </c>
      <c r="U28" s="22">
        <f t="shared" si="33"/>
        <v>0</v>
      </c>
      <c r="V28" s="22">
        <f t="shared" si="33"/>
        <v>0</v>
      </c>
      <c r="W28" s="22">
        <f t="shared" si="33"/>
        <v>0</v>
      </c>
      <c r="X28" s="22">
        <f t="shared" si="33"/>
        <v>0</v>
      </c>
      <c r="Y28" s="22">
        <f t="shared" si="33"/>
        <v>0</v>
      </c>
      <c r="Z28" s="22">
        <f t="shared" si="33"/>
        <v>0</v>
      </c>
      <c r="AA28" s="22">
        <f t="shared" si="17"/>
        <v>0</v>
      </c>
      <c r="AB28" s="22">
        <f t="shared" ref="AB28:AL28" si="34">$K28*AB39</f>
        <v>0</v>
      </c>
      <c r="AC28" s="22">
        <f t="shared" si="34"/>
        <v>0</v>
      </c>
      <c r="AD28" s="22">
        <f t="shared" si="34"/>
        <v>0</v>
      </c>
      <c r="AE28" s="22">
        <f t="shared" si="34"/>
        <v>0</v>
      </c>
      <c r="AF28" s="22">
        <f t="shared" si="34"/>
        <v>0</v>
      </c>
      <c r="AG28" s="22">
        <f t="shared" si="34"/>
        <v>0</v>
      </c>
      <c r="AH28" s="22">
        <f t="shared" si="34"/>
        <v>0</v>
      </c>
      <c r="AI28" s="22">
        <f t="shared" si="34"/>
        <v>0</v>
      </c>
      <c r="AJ28" s="22">
        <f t="shared" si="34"/>
        <v>0</v>
      </c>
      <c r="AK28" s="22">
        <f t="shared" si="34"/>
        <v>0</v>
      </c>
      <c r="AL28" s="22">
        <f t="shared" si="34"/>
        <v>0</v>
      </c>
      <c r="AM28" s="22">
        <f t="shared" ref="AM28:AX28" si="35">$L28*AM39</f>
        <v>0</v>
      </c>
      <c r="AN28" s="22">
        <f t="shared" si="35"/>
        <v>0</v>
      </c>
      <c r="AO28" s="22">
        <f t="shared" si="35"/>
        <v>0</v>
      </c>
      <c r="AP28" s="22">
        <f t="shared" si="35"/>
        <v>0</v>
      </c>
      <c r="AQ28" s="22">
        <f t="shared" si="35"/>
        <v>0</v>
      </c>
      <c r="AR28" s="22">
        <f t="shared" si="35"/>
        <v>0</v>
      </c>
      <c r="AS28" s="22">
        <f t="shared" si="35"/>
        <v>0</v>
      </c>
      <c r="AT28" s="22">
        <f t="shared" si="35"/>
        <v>0</v>
      </c>
      <c r="AU28" s="22">
        <f t="shared" si="35"/>
        <v>0</v>
      </c>
      <c r="AV28" s="22">
        <f t="shared" si="35"/>
        <v>0</v>
      </c>
      <c r="AW28" s="22">
        <f t="shared" si="35"/>
        <v>0</v>
      </c>
      <c r="AX28" s="22">
        <f t="shared" si="35"/>
        <v>0</v>
      </c>
      <c r="AY28" s="22">
        <f t="shared" ref="AY28:BJ28" si="36">$M28*AY39</f>
        <v>0</v>
      </c>
      <c r="AZ28" s="22">
        <f t="shared" si="36"/>
        <v>0</v>
      </c>
      <c r="BA28" s="22">
        <f t="shared" si="36"/>
        <v>0</v>
      </c>
      <c r="BB28" s="22">
        <f t="shared" si="36"/>
        <v>0</v>
      </c>
      <c r="BC28" s="22">
        <f t="shared" si="36"/>
        <v>0</v>
      </c>
      <c r="BD28" s="22">
        <f t="shared" si="36"/>
        <v>0</v>
      </c>
      <c r="BE28" s="22">
        <f t="shared" si="36"/>
        <v>0</v>
      </c>
      <c r="BF28" s="22">
        <f t="shared" si="36"/>
        <v>0</v>
      </c>
      <c r="BG28" s="22">
        <f t="shared" si="36"/>
        <v>0</v>
      </c>
      <c r="BH28" s="22">
        <f t="shared" si="36"/>
        <v>0</v>
      </c>
      <c r="BI28" s="22">
        <f t="shared" si="36"/>
        <v>0</v>
      </c>
      <c r="BJ28" s="22">
        <f t="shared" si="36"/>
        <v>0</v>
      </c>
      <c r="BK28" s="22">
        <f t="shared" si="21"/>
        <v>0</v>
      </c>
      <c r="BL28" s="22">
        <f t="shared" ref="BL28:BV28" si="37">$N28*BL39</f>
        <v>0</v>
      </c>
      <c r="BM28" s="22">
        <f t="shared" si="37"/>
        <v>0</v>
      </c>
      <c r="BN28" s="22">
        <f t="shared" si="37"/>
        <v>0</v>
      </c>
      <c r="BO28" s="22">
        <f t="shared" si="37"/>
        <v>0</v>
      </c>
      <c r="BP28" s="22">
        <f t="shared" si="37"/>
        <v>0</v>
      </c>
      <c r="BQ28" s="22">
        <f t="shared" si="37"/>
        <v>0</v>
      </c>
      <c r="BR28" s="22">
        <f t="shared" si="37"/>
        <v>0</v>
      </c>
      <c r="BS28" s="22">
        <f t="shared" si="37"/>
        <v>0</v>
      </c>
      <c r="BT28" s="22">
        <f t="shared" si="37"/>
        <v>0</v>
      </c>
      <c r="BU28" s="22">
        <f t="shared" si="37"/>
        <v>0</v>
      </c>
      <c r="BV28" s="22">
        <f t="shared" si="37"/>
        <v>0</v>
      </c>
    </row>
    <row r="29" spans="1:74" s="10" customFormat="1" hidden="1" outlineLevel="1">
      <c r="B29" s="358"/>
      <c r="H29" s="28"/>
      <c r="I29" s="106" t="s">
        <v>237</v>
      </c>
      <c r="J29" s="384"/>
      <c r="K29" s="384"/>
      <c r="L29" s="384"/>
      <c r="M29" s="384"/>
      <c r="N29" s="384"/>
      <c r="O29" s="22">
        <f t="shared" si="15"/>
        <v>0</v>
      </c>
      <c r="P29" s="22">
        <f t="shared" ref="P29:Z29" si="38">$J29*P40</f>
        <v>0</v>
      </c>
      <c r="Q29" s="22">
        <f t="shared" si="38"/>
        <v>0</v>
      </c>
      <c r="R29" s="22">
        <f t="shared" si="38"/>
        <v>0</v>
      </c>
      <c r="S29" s="22">
        <f t="shared" si="38"/>
        <v>0</v>
      </c>
      <c r="T29" s="22">
        <f t="shared" si="38"/>
        <v>0</v>
      </c>
      <c r="U29" s="22">
        <f t="shared" si="38"/>
        <v>0</v>
      </c>
      <c r="V29" s="22">
        <f t="shared" si="38"/>
        <v>0</v>
      </c>
      <c r="W29" s="22">
        <f t="shared" si="38"/>
        <v>0</v>
      </c>
      <c r="X29" s="22">
        <f t="shared" si="38"/>
        <v>0</v>
      </c>
      <c r="Y29" s="22">
        <f t="shared" si="38"/>
        <v>0</v>
      </c>
      <c r="Z29" s="22">
        <f t="shared" si="38"/>
        <v>0</v>
      </c>
      <c r="AA29" s="22">
        <f t="shared" si="17"/>
        <v>0</v>
      </c>
      <c r="AB29" s="22">
        <f t="shared" ref="AB29:AL29" si="39">$K29*AB40</f>
        <v>0</v>
      </c>
      <c r="AC29" s="22">
        <f t="shared" si="39"/>
        <v>0</v>
      </c>
      <c r="AD29" s="22">
        <f t="shared" si="39"/>
        <v>0</v>
      </c>
      <c r="AE29" s="22">
        <f t="shared" si="39"/>
        <v>0</v>
      </c>
      <c r="AF29" s="22">
        <f t="shared" si="39"/>
        <v>0</v>
      </c>
      <c r="AG29" s="22">
        <f t="shared" si="39"/>
        <v>0</v>
      </c>
      <c r="AH29" s="22">
        <f t="shared" si="39"/>
        <v>0</v>
      </c>
      <c r="AI29" s="22">
        <f t="shared" si="39"/>
        <v>0</v>
      </c>
      <c r="AJ29" s="22">
        <f t="shared" si="39"/>
        <v>0</v>
      </c>
      <c r="AK29" s="22">
        <f t="shared" si="39"/>
        <v>0</v>
      </c>
      <c r="AL29" s="22">
        <f t="shared" si="39"/>
        <v>0</v>
      </c>
      <c r="AM29" s="22">
        <f t="shared" ref="AM29:AX29" si="40">$L29*AM40</f>
        <v>0</v>
      </c>
      <c r="AN29" s="22">
        <f t="shared" si="40"/>
        <v>0</v>
      </c>
      <c r="AO29" s="22">
        <f t="shared" si="40"/>
        <v>0</v>
      </c>
      <c r="AP29" s="22">
        <f t="shared" si="40"/>
        <v>0</v>
      </c>
      <c r="AQ29" s="22">
        <f t="shared" si="40"/>
        <v>0</v>
      </c>
      <c r="AR29" s="22">
        <f t="shared" si="40"/>
        <v>0</v>
      </c>
      <c r="AS29" s="22">
        <f t="shared" si="40"/>
        <v>0</v>
      </c>
      <c r="AT29" s="22">
        <f t="shared" si="40"/>
        <v>0</v>
      </c>
      <c r="AU29" s="22">
        <f t="shared" si="40"/>
        <v>0</v>
      </c>
      <c r="AV29" s="22">
        <f t="shared" si="40"/>
        <v>0</v>
      </c>
      <c r="AW29" s="22">
        <f t="shared" si="40"/>
        <v>0</v>
      </c>
      <c r="AX29" s="22">
        <f t="shared" si="40"/>
        <v>0</v>
      </c>
      <c r="AY29" s="22">
        <f t="shared" ref="AY29:BJ29" si="41">$M29*AY40</f>
        <v>0</v>
      </c>
      <c r="AZ29" s="22">
        <f t="shared" si="41"/>
        <v>0</v>
      </c>
      <c r="BA29" s="22">
        <f t="shared" si="41"/>
        <v>0</v>
      </c>
      <c r="BB29" s="22">
        <f t="shared" si="41"/>
        <v>0</v>
      </c>
      <c r="BC29" s="22">
        <f t="shared" si="41"/>
        <v>0</v>
      </c>
      <c r="BD29" s="22">
        <f t="shared" si="41"/>
        <v>0</v>
      </c>
      <c r="BE29" s="22">
        <f t="shared" si="41"/>
        <v>0</v>
      </c>
      <c r="BF29" s="22">
        <f t="shared" si="41"/>
        <v>0</v>
      </c>
      <c r="BG29" s="22">
        <f t="shared" si="41"/>
        <v>0</v>
      </c>
      <c r="BH29" s="22">
        <f t="shared" si="41"/>
        <v>0</v>
      </c>
      <c r="BI29" s="22">
        <f t="shared" si="41"/>
        <v>0</v>
      </c>
      <c r="BJ29" s="22">
        <f t="shared" si="41"/>
        <v>0</v>
      </c>
      <c r="BK29" s="22">
        <f t="shared" si="21"/>
        <v>0</v>
      </c>
      <c r="BL29" s="22">
        <f t="shared" ref="BL29:BV29" si="42">$N29*BL40</f>
        <v>0</v>
      </c>
      <c r="BM29" s="22">
        <f t="shared" si="42"/>
        <v>0</v>
      </c>
      <c r="BN29" s="22">
        <f t="shared" si="42"/>
        <v>0</v>
      </c>
      <c r="BO29" s="22">
        <f t="shared" si="42"/>
        <v>0</v>
      </c>
      <c r="BP29" s="22">
        <f t="shared" si="42"/>
        <v>0</v>
      </c>
      <c r="BQ29" s="22">
        <f t="shared" si="42"/>
        <v>0</v>
      </c>
      <c r="BR29" s="22">
        <f t="shared" si="42"/>
        <v>0</v>
      </c>
      <c r="BS29" s="22">
        <f t="shared" si="42"/>
        <v>0</v>
      </c>
      <c r="BT29" s="22">
        <f t="shared" si="42"/>
        <v>0</v>
      </c>
      <c r="BU29" s="22">
        <f t="shared" si="42"/>
        <v>0</v>
      </c>
      <c r="BV29" s="22">
        <f t="shared" si="42"/>
        <v>0</v>
      </c>
    </row>
    <row r="30" spans="1:74" s="10" customFormat="1" hidden="1" outlineLevel="1">
      <c r="B30" s="358"/>
      <c r="I30" s="106" t="s">
        <v>238</v>
      </c>
      <c r="J30" s="384"/>
      <c r="K30" s="384"/>
      <c r="L30" s="384"/>
      <c r="M30" s="384"/>
      <c r="N30" s="384"/>
      <c r="O30" s="22">
        <f t="shared" si="15"/>
        <v>0</v>
      </c>
      <c r="P30" s="22">
        <f t="shared" ref="P30:Z30" si="43">$J30*P41</f>
        <v>0</v>
      </c>
      <c r="Q30" s="22">
        <f t="shared" si="43"/>
        <v>0</v>
      </c>
      <c r="R30" s="22">
        <f t="shared" si="43"/>
        <v>0</v>
      </c>
      <c r="S30" s="22">
        <f t="shared" si="43"/>
        <v>0</v>
      </c>
      <c r="T30" s="22">
        <f t="shared" si="43"/>
        <v>0</v>
      </c>
      <c r="U30" s="22">
        <f t="shared" si="43"/>
        <v>0</v>
      </c>
      <c r="V30" s="22">
        <f t="shared" si="43"/>
        <v>0</v>
      </c>
      <c r="W30" s="22">
        <f t="shared" si="43"/>
        <v>0</v>
      </c>
      <c r="X30" s="22">
        <f t="shared" si="43"/>
        <v>0</v>
      </c>
      <c r="Y30" s="22">
        <f t="shared" si="43"/>
        <v>0</v>
      </c>
      <c r="Z30" s="22">
        <f t="shared" si="43"/>
        <v>0</v>
      </c>
      <c r="AA30" s="22">
        <f t="shared" si="17"/>
        <v>0</v>
      </c>
      <c r="AB30" s="22">
        <f t="shared" ref="AB30:AL30" si="44">$K30*AB41</f>
        <v>0</v>
      </c>
      <c r="AC30" s="22">
        <f t="shared" si="44"/>
        <v>0</v>
      </c>
      <c r="AD30" s="22">
        <f t="shared" si="44"/>
        <v>0</v>
      </c>
      <c r="AE30" s="22">
        <f t="shared" si="44"/>
        <v>0</v>
      </c>
      <c r="AF30" s="22">
        <f t="shared" si="44"/>
        <v>0</v>
      </c>
      <c r="AG30" s="22">
        <f t="shared" si="44"/>
        <v>0</v>
      </c>
      <c r="AH30" s="22">
        <f t="shared" si="44"/>
        <v>0</v>
      </c>
      <c r="AI30" s="22">
        <f t="shared" si="44"/>
        <v>0</v>
      </c>
      <c r="AJ30" s="22">
        <f t="shared" si="44"/>
        <v>0</v>
      </c>
      <c r="AK30" s="22">
        <f t="shared" si="44"/>
        <v>0</v>
      </c>
      <c r="AL30" s="22">
        <f t="shared" si="44"/>
        <v>0</v>
      </c>
      <c r="AM30" s="22">
        <f t="shared" ref="AM30:AX30" si="45">$L30*AM41</f>
        <v>0</v>
      </c>
      <c r="AN30" s="22">
        <f t="shared" si="45"/>
        <v>0</v>
      </c>
      <c r="AO30" s="22">
        <f t="shared" si="45"/>
        <v>0</v>
      </c>
      <c r="AP30" s="22">
        <f t="shared" si="45"/>
        <v>0</v>
      </c>
      <c r="AQ30" s="22">
        <f t="shared" si="45"/>
        <v>0</v>
      </c>
      <c r="AR30" s="22">
        <f t="shared" si="45"/>
        <v>0</v>
      </c>
      <c r="AS30" s="22">
        <f t="shared" si="45"/>
        <v>0</v>
      </c>
      <c r="AT30" s="22">
        <f t="shared" si="45"/>
        <v>0</v>
      </c>
      <c r="AU30" s="22">
        <f t="shared" si="45"/>
        <v>0</v>
      </c>
      <c r="AV30" s="22">
        <f t="shared" si="45"/>
        <v>0</v>
      </c>
      <c r="AW30" s="22">
        <f t="shared" si="45"/>
        <v>0</v>
      </c>
      <c r="AX30" s="22">
        <f t="shared" si="45"/>
        <v>0</v>
      </c>
      <c r="AY30" s="22">
        <f t="shared" ref="AY30:BJ30" si="46">$M30*AY41</f>
        <v>0</v>
      </c>
      <c r="AZ30" s="22">
        <f t="shared" si="46"/>
        <v>0</v>
      </c>
      <c r="BA30" s="22">
        <f t="shared" si="46"/>
        <v>0</v>
      </c>
      <c r="BB30" s="22">
        <f t="shared" si="46"/>
        <v>0</v>
      </c>
      <c r="BC30" s="22">
        <f t="shared" si="46"/>
        <v>0</v>
      </c>
      <c r="BD30" s="22">
        <f t="shared" si="46"/>
        <v>0</v>
      </c>
      <c r="BE30" s="22">
        <f t="shared" si="46"/>
        <v>0</v>
      </c>
      <c r="BF30" s="22">
        <f t="shared" si="46"/>
        <v>0</v>
      </c>
      <c r="BG30" s="22">
        <f t="shared" si="46"/>
        <v>0</v>
      </c>
      <c r="BH30" s="22">
        <f t="shared" si="46"/>
        <v>0</v>
      </c>
      <c r="BI30" s="22">
        <f t="shared" si="46"/>
        <v>0</v>
      </c>
      <c r="BJ30" s="22">
        <f t="shared" si="46"/>
        <v>0</v>
      </c>
      <c r="BK30" s="22">
        <f t="shared" si="21"/>
        <v>0</v>
      </c>
      <c r="BL30" s="22">
        <f t="shared" ref="BL30:BV30" si="47">$N30*BL41</f>
        <v>0</v>
      </c>
      <c r="BM30" s="22">
        <f t="shared" si="47"/>
        <v>0</v>
      </c>
      <c r="BN30" s="22">
        <f t="shared" si="47"/>
        <v>0</v>
      </c>
      <c r="BO30" s="22">
        <f t="shared" si="47"/>
        <v>0</v>
      </c>
      <c r="BP30" s="22">
        <f t="shared" si="47"/>
        <v>0</v>
      </c>
      <c r="BQ30" s="22">
        <f t="shared" si="47"/>
        <v>0</v>
      </c>
      <c r="BR30" s="22">
        <f t="shared" si="47"/>
        <v>0</v>
      </c>
      <c r="BS30" s="22">
        <f t="shared" si="47"/>
        <v>0</v>
      </c>
      <c r="BT30" s="22">
        <f t="shared" si="47"/>
        <v>0</v>
      </c>
      <c r="BU30" s="22">
        <f t="shared" si="47"/>
        <v>0</v>
      </c>
      <c r="BV30" s="22">
        <f t="shared" si="47"/>
        <v>0</v>
      </c>
    </row>
    <row r="31" spans="1:74" s="10" customFormat="1" hidden="1" outlineLevel="1">
      <c r="I31" s="106" t="s">
        <v>239</v>
      </c>
      <c r="J31" s="384"/>
      <c r="K31" s="384"/>
      <c r="L31" s="384"/>
      <c r="M31" s="384"/>
      <c r="N31" s="384"/>
      <c r="O31" s="22">
        <f t="shared" si="15"/>
        <v>0</v>
      </c>
      <c r="P31" s="22">
        <f t="shared" ref="P31:Z31" si="48">$J31*P42</f>
        <v>0</v>
      </c>
      <c r="Q31" s="22">
        <f t="shared" si="48"/>
        <v>0</v>
      </c>
      <c r="R31" s="22">
        <f t="shared" si="48"/>
        <v>0</v>
      </c>
      <c r="S31" s="22">
        <f t="shared" si="48"/>
        <v>0</v>
      </c>
      <c r="T31" s="22">
        <f t="shared" si="48"/>
        <v>0</v>
      </c>
      <c r="U31" s="22">
        <f t="shared" si="48"/>
        <v>0</v>
      </c>
      <c r="V31" s="22">
        <f t="shared" si="48"/>
        <v>0</v>
      </c>
      <c r="W31" s="22">
        <f t="shared" si="48"/>
        <v>0</v>
      </c>
      <c r="X31" s="22">
        <f t="shared" si="48"/>
        <v>0</v>
      </c>
      <c r="Y31" s="22">
        <f t="shared" si="48"/>
        <v>0</v>
      </c>
      <c r="Z31" s="22">
        <f t="shared" si="48"/>
        <v>0</v>
      </c>
      <c r="AA31" s="22">
        <f t="shared" si="17"/>
        <v>0</v>
      </c>
      <c r="AB31" s="22">
        <f t="shared" ref="AB31:AL31" si="49">$K31*AB42</f>
        <v>0</v>
      </c>
      <c r="AC31" s="22">
        <f t="shared" si="49"/>
        <v>0</v>
      </c>
      <c r="AD31" s="22">
        <f t="shared" si="49"/>
        <v>0</v>
      </c>
      <c r="AE31" s="22">
        <f t="shared" si="49"/>
        <v>0</v>
      </c>
      <c r="AF31" s="22">
        <f t="shared" si="49"/>
        <v>0</v>
      </c>
      <c r="AG31" s="22">
        <f t="shared" si="49"/>
        <v>0</v>
      </c>
      <c r="AH31" s="22">
        <f t="shared" si="49"/>
        <v>0</v>
      </c>
      <c r="AI31" s="22">
        <f t="shared" si="49"/>
        <v>0</v>
      </c>
      <c r="AJ31" s="22">
        <f t="shared" si="49"/>
        <v>0</v>
      </c>
      <c r="AK31" s="22">
        <f t="shared" si="49"/>
        <v>0</v>
      </c>
      <c r="AL31" s="22">
        <f t="shared" si="49"/>
        <v>0</v>
      </c>
      <c r="AM31" s="22">
        <f t="shared" ref="AM31:AX31" si="50">$L31*AM42</f>
        <v>0</v>
      </c>
      <c r="AN31" s="22">
        <f t="shared" si="50"/>
        <v>0</v>
      </c>
      <c r="AO31" s="22">
        <f t="shared" si="50"/>
        <v>0</v>
      </c>
      <c r="AP31" s="22">
        <f t="shared" si="50"/>
        <v>0</v>
      </c>
      <c r="AQ31" s="22">
        <f t="shared" si="50"/>
        <v>0</v>
      </c>
      <c r="AR31" s="22">
        <f t="shared" si="50"/>
        <v>0</v>
      </c>
      <c r="AS31" s="22">
        <f t="shared" si="50"/>
        <v>0</v>
      </c>
      <c r="AT31" s="22">
        <f t="shared" si="50"/>
        <v>0</v>
      </c>
      <c r="AU31" s="22">
        <f t="shared" si="50"/>
        <v>0</v>
      </c>
      <c r="AV31" s="22">
        <f t="shared" si="50"/>
        <v>0</v>
      </c>
      <c r="AW31" s="22">
        <f t="shared" si="50"/>
        <v>0</v>
      </c>
      <c r="AX31" s="22">
        <f t="shared" si="50"/>
        <v>0</v>
      </c>
      <c r="AY31" s="22">
        <f t="shared" ref="AY31:BJ31" si="51">$M31*AY42</f>
        <v>0</v>
      </c>
      <c r="AZ31" s="22">
        <f t="shared" si="51"/>
        <v>0</v>
      </c>
      <c r="BA31" s="22">
        <f t="shared" si="51"/>
        <v>0</v>
      </c>
      <c r="BB31" s="22">
        <f t="shared" si="51"/>
        <v>0</v>
      </c>
      <c r="BC31" s="22">
        <f t="shared" si="51"/>
        <v>0</v>
      </c>
      <c r="BD31" s="22">
        <f t="shared" si="51"/>
        <v>0</v>
      </c>
      <c r="BE31" s="22">
        <f t="shared" si="51"/>
        <v>0</v>
      </c>
      <c r="BF31" s="22">
        <f t="shared" si="51"/>
        <v>0</v>
      </c>
      <c r="BG31" s="22">
        <f t="shared" si="51"/>
        <v>0</v>
      </c>
      <c r="BH31" s="22">
        <f t="shared" si="51"/>
        <v>0</v>
      </c>
      <c r="BI31" s="22">
        <f t="shared" si="51"/>
        <v>0</v>
      </c>
      <c r="BJ31" s="22">
        <f t="shared" si="51"/>
        <v>0</v>
      </c>
      <c r="BK31" s="22">
        <f t="shared" si="21"/>
        <v>0</v>
      </c>
      <c r="BL31" s="22">
        <f t="shared" ref="BL31:BV31" si="52">$N31*BL42</f>
        <v>0</v>
      </c>
      <c r="BM31" s="22">
        <f t="shared" si="52"/>
        <v>0</v>
      </c>
      <c r="BN31" s="22">
        <f t="shared" si="52"/>
        <v>0</v>
      </c>
      <c r="BO31" s="22">
        <f t="shared" si="52"/>
        <v>0</v>
      </c>
      <c r="BP31" s="22">
        <f t="shared" si="52"/>
        <v>0</v>
      </c>
      <c r="BQ31" s="22">
        <f t="shared" si="52"/>
        <v>0</v>
      </c>
      <c r="BR31" s="22">
        <f t="shared" si="52"/>
        <v>0</v>
      </c>
      <c r="BS31" s="22">
        <f t="shared" si="52"/>
        <v>0</v>
      </c>
      <c r="BT31" s="22">
        <f t="shared" si="52"/>
        <v>0</v>
      </c>
      <c r="BU31" s="22">
        <f t="shared" si="52"/>
        <v>0</v>
      </c>
      <c r="BV31" s="22">
        <f t="shared" si="52"/>
        <v>0</v>
      </c>
    </row>
    <row r="32" spans="1:74" s="10" customFormat="1" hidden="1" outlineLevel="1">
      <c r="I32" s="106" t="s">
        <v>240</v>
      </c>
      <c r="J32" s="384"/>
      <c r="K32" s="384"/>
      <c r="L32" s="384"/>
      <c r="M32" s="384"/>
      <c r="N32" s="384"/>
      <c r="O32" s="22">
        <f t="shared" si="15"/>
        <v>0</v>
      </c>
      <c r="P32" s="22">
        <f t="shared" ref="P32:Z32" si="53">$J32*P43</f>
        <v>0</v>
      </c>
      <c r="Q32" s="22">
        <f t="shared" si="53"/>
        <v>0</v>
      </c>
      <c r="R32" s="22">
        <f t="shared" si="53"/>
        <v>0</v>
      </c>
      <c r="S32" s="22">
        <f t="shared" si="53"/>
        <v>0</v>
      </c>
      <c r="T32" s="22">
        <f t="shared" si="53"/>
        <v>0</v>
      </c>
      <c r="U32" s="22">
        <f t="shared" si="53"/>
        <v>0</v>
      </c>
      <c r="V32" s="22">
        <f t="shared" si="53"/>
        <v>0</v>
      </c>
      <c r="W32" s="22">
        <f t="shared" si="53"/>
        <v>0</v>
      </c>
      <c r="X32" s="22">
        <f t="shared" si="53"/>
        <v>0</v>
      </c>
      <c r="Y32" s="22">
        <f t="shared" si="53"/>
        <v>0</v>
      </c>
      <c r="Z32" s="22">
        <f t="shared" si="53"/>
        <v>0</v>
      </c>
      <c r="AA32" s="22">
        <f t="shared" si="17"/>
        <v>0</v>
      </c>
      <c r="AB32" s="22">
        <f t="shared" ref="AB32:AL32" si="54">$K32*AB43</f>
        <v>0</v>
      </c>
      <c r="AC32" s="22">
        <f t="shared" si="54"/>
        <v>0</v>
      </c>
      <c r="AD32" s="22">
        <f t="shared" si="54"/>
        <v>0</v>
      </c>
      <c r="AE32" s="22">
        <f t="shared" si="54"/>
        <v>0</v>
      </c>
      <c r="AF32" s="22">
        <f t="shared" si="54"/>
        <v>0</v>
      </c>
      <c r="AG32" s="22">
        <f t="shared" si="54"/>
        <v>0</v>
      </c>
      <c r="AH32" s="22">
        <f t="shared" si="54"/>
        <v>0</v>
      </c>
      <c r="AI32" s="22">
        <f t="shared" si="54"/>
        <v>0</v>
      </c>
      <c r="AJ32" s="22">
        <f t="shared" si="54"/>
        <v>0</v>
      </c>
      <c r="AK32" s="22">
        <f t="shared" si="54"/>
        <v>0</v>
      </c>
      <c r="AL32" s="22">
        <f t="shared" si="54"/>
        <v>0</v>
      </c>
      <c r="AM32" s="22">
        <f t="shared" ref="AM32:AX32" si="55">$L32*AM43</f>
        <v>0</v>
      </c>
      <c r="AN32" s="22">
        <f t="shared" si="55"/>
        <v>0</v>
      </c>
      <c r="AO32" s="22">
        <f t="shared" si="55"/>
        <v>0</v>
      </c>
      <c r="AP32" s="22">
        <f t="shared" si="55"/>
        <v>0</v>
      </c>
      <c r="AQ32" s="22">
        <f t="shared" si="55"/>
        <v>0</v>
      </c>
      <c r="AR32" s="22">
        <f t="shared" si="55"/>
        <v>0</v>
      </c>
      <c r="AS32" s="22">
        <f t="shared" si="55"/>
        <v>0</v>
      </c>
      <c r="AT32" s="22">
        <f t="shared" si="55"/>
        <v>0</v>
      </c>
      <c r="AU32" s="22">
        <f t="shared" si="55"/>
        <v>0</v>
      </c>
      <c r="AV32" s="22">
        <f t="shared" si="55"/>
        <v>0</v>
      </c>
      <c r="AW32" s="22">
        <f t="shared" si="55"/>
        <v>0</v>
      </c>
      <c r="AX32" s="22">
        <f t="shared" si="55"/>
        <v>0</v>
      </c>
      <c r="AY32" s="22">
        <f t="shared" ref="AY32:BJ32" si="56">$M32*AY43</f>
        <v>0</v>
      </c>
      <c r="AZ32" s="22">
        <f t="shared" si="56"/>
        <v>0</v>
      </c>
      <c r="BA32" s="22">
        <f t="shared" si="56"/>
        <v>0</v>
      </c>
      <c r="BB32" s="22">
        <f t="shared" si="56"/>
        <v>0</v>
      </c>
      <c r="BC32" s="22">
        <f t="shared" si="56"/>
        <v>0</v>
      </c>
      <c r="BD32" s="22">
        <f t="shared" si="56"/>
        <v>0</v>
      </c>
      <c r="BE32" s="22">
        <f t="shared" si="56"/>
        <v>0</v>
      </c>
      <c r="BF32" s="22">
        <f t="shared" si="56"/>
        <v>0</v>
      </c>
      <c r="BG32" s="22">
        <f t="shared" si="56"/>
        <v>0</v>
      </c>
      <c r="BH32" s="22">
        <f t="shared" si="56"/>
        <v>0</v>
      </c>
      <c r="BI32" s="22">
        <f t="shared" si="56"/>
        <v>0</v>
      </c>
      <c r="BJ32" s="22">
        <f t="shared" si="56"/>
        <v>0</v>
      </c>
      <c r="BK32" s="22">
        <f t="shared" si="21"/>
        <v>0</v>
      </c>
      <c r="BL32" s="22">
        <f t="shared" ref="BL32:BV32" si="57">$N32*BL43</f>
        <v>0</v>
      </c>
      <c r="BM32" s="22">
        <f t="shared" si="57"/>
        <v>0</v>
      </c>
      <c r="BN32" s="22">
        <f t="shared" si="57"/>
        <v>0</v>
      </c>
      <c r="BO32" s="22">
        <f t="shared" si="57"/>
        <v>0</v>
      </c>
      <c r="BP32" s="22">
        <f t="shared" si="57"/>
        <v>0</v>
      </c>
      <c r="BQ32" s="22">
        <f t="shared" si="57"/>
        <v>0</v>
      </c>
      <c r="BR32" s="22">
        <f t="shared" si="57"/>
        <v>0</v>
      </c>
      <c r="BS32" s="22">
        <f t="shared" si="57"/>
        <v>0</v>
      </c>
      <c r="BT32" s="22">
        <f t="shared" si="57"/>
        <v>0</v>
      </c>
      <c r="BU32" s="22">
        <f t="shared" si="57"/>
        <v>0</v>
      </c>
      <c r="BV32" s="22">
        <f t="shared" si="57"/>
        <v>0</v>
      </c>
    </row>
    <row r="33" spans="9:74" s="10" customFormat="1" hidden="1" outlineLevel="1">
      <c r="I33" s="106"/>
      <c r="J33" s="106"/>
      <c r="K33" s="178"/>
      <c r="L33" s="178"/>
      <c r="M33" s="178"/>
      <c r="N33" s="178"/>
      <c r="O33" s="22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</row>
    <row r="34" spans="9:74" s="10" customFormat="1" hidden="1" outlineLevel="1">
      <c r="I34" s="133"/>
      <c r="J34" s="535" t="s">
        <v>241</v>
      </c>
      <c r="K34" s="535"/>
      <c r="L34" s="535"/>
      <c r="M34" s="535"/>
      <c r="N34" s="535"/>
      <c r="O34" s="22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</row>
    <row r="35" spans="9:74" s="10" customFormat="1" hidden="1" outlineLevel="1">
      <c r="I35" s="349" t="s">
        <v>241</v>
      </c>
      <c r="J35" s="379">
        <f>J24</f>
        <v>45261</v>
      </c>
      <c r="K35" s="379">
        <f>EDATE(J35,12)</f>
        <v>45627</v>
      </c>
      <c r="L35" s="379">
        <f>EDATE(K35,12)</f>
        <v>45992</v>
      </c>
      <c r="M35" s="379">
        <f t="shared" ref="M35:N35" si="58">EDATE(L35,12)</f>
        <v>46357</v>
      </c>
      <c r="N35" s="379">
        <f t="shared" si="58"/>
        <v>46722</v>
      </c>
      <c r="O35" s="22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</row>
    <row r="36" spans="9:74" s="10" customFormat="1" hidden="1" outlineLevel="1">
      <c r="I36" s="106" t="str">
        <f t="shared" ref="I36:I43" si="59">I25</f>
        <v>Owners</v>
      </c>
      <c r="J36" s="384"/>
      <c r="K36" s="384"/>
      <c r="L36" s="384"/>
      <c r="M36" s="384"/>
      <c r="N36" s="384"/>
      <c r="O36" s="22">
        <f>J36</f>
        <v>0</v>
      </c>
      <c r="P36" s="22">
        <f>O36</f>
        <v>0</v>
      </c>
      <c r="Q36" s="22">
        <f t="shared" ref="Q36:BV40" si="60">P36</f>
        <v>0</v>
      </c>
      <c r="R36" s="22">
        <f t="shared" si="60"/>
        <v>0</v>
      </c>
      <c r="S36" s="22">
        <f t="shared" si="60"/>
        <v>0</v>
      </c>
      <c r="T36" s="22">
        <f t="shared" si="60"/>
        <v>0</v>
      </c>
      <c r="U36" s="22">
        <f t="shared" si="60"/>
        <v>0</v>
      </c>
      <c r="V36" s="22">
        <f t="shared" si="60"/>
        <v>0</v>
      </c>
      <c r="W36" s="22">
        <f t="shared" si="60"/>
        <v>0</v>
      </c>
      <c r="X36" s="22">
        <f t="shared" si="60"/>
        <v>0</v>
      </c>
      <c r="Y36" s="22">
        <f t="shared" si="60"/>
        <v>0</v>
      </c>
      <c r="Z36" s="22">
        <f t="shared" si="60"/>
        <v>0</v>
      </c>
      <c r="AA36" s="22">
        <f>K36</f>
        <v>0</v>
      </c>
      <c r="AB36" s="22">
        <f t="shared" si="60"/>
        <v>0</v>
      </c>
      <c r="AC36" s="22">
        <f t="shared" si="60"/>
        <v>0</v>
      </c>
      <c r="AD36" s="22">
        <f t="shared" si="60"/>
        <v>0</v>
      </c>
      <c r="AE36" s="22">
        <f t="shared" si="60"/>
        <v>0</v>
      </c>
      <c r="AF36" s="22">
        <f t="shared" si="60"/>
        <v>0</v>
      </c>
      <c r="AG36" s="22">
        <f t="shared" si="60"/>
        <v>0</v>
      </c>
      <c r="AH36" s="22">
        <f t="shared" si="60"/>
        <v>0</v>
      </c>
      <c r="AI36" s="22">
        <f t="shared" si="60"/>
        <v>0</v>
      </c>
      <c r="AJ36" s="22">
        <f t="shared" si="60"/>
        <v>0</v>
      </c>
      <c r="AK36" s="22">
        <f t="shared" si="60"/>
        <v>0</v>
      </c>
      <c r="AL36" s="22">
        <f t="shared" si="60"/>
        <v>0</v>
      </c>
      <c r="AM36" s="22">
        <f>L36</f>
        <v>0</v>
      </c>
      <c r="AN36" s="22">
        <f t="shared" si="60"/>
        <v>0</v>
      </c>
      <c r="AO36" s="22">
        <f t="shared" si="60"/>
        <v>0</v>
      </c>
      <c r="AP36" s="22">
        <f t="shared" si="60"/>
        <v>0</v>
      </c>
      <c r="AQ36" s="22">
        <f t="shared" si="60"/>
        <v>0</v>
      </c>
      <c r="AR36" s="22">
        <f t="shared" si="60"/>
        <v>0</v>
      </c>
      <c r="AS36" s="22">
        <f t="shared" si="60"/>
        <v>0</v>
      </c>
      <c r="AT36" s="22">
        <f t="shared" si="60"/>
        <v>0</v>
      </c>
      <c r="AU36" s="22">
        <f t="shared" si="60"/>
        <v>0</v>
      </c>
      <c r="AV36" s="22">
        <f t="shared" si="60"/>
        <v>0</v>
      </c>
      <c r="AW36" s="22">
        <f t="shared" si="60"/>
        <v>0</v>
      </c>
      <c r="AX36" s="22">
        <f t="shared" si="60"/>
        <v>0</v>
      </c>
      <c r="AY36" s="22">
        <f>M36</f>
        <v>0</v>
      </c>
      <c r="AZ36" s="22">
        <f t="shared" si="60"/>
        <v>0</v>
      </c>
      <c r="BA36" s="22">
        <f t="shared" si="60"/>
        <v>0</v>
      </c>
      <c r="BB36" s="22">
        <f t="shared" si="60"/>
        <v>0</v>
      </c>
      <c r="BC36" s="22">
        <f t="shared" si="60"/>
        <v>0</v>
      </c>
      <c r="BD36" s="22">
        <f t="shared" si="60"/>
        <v>0</v>
      </c>
      <c r="BE36" s="22">
        <f t="shared" si="60"/>
        <v>0</v>
      </c>
      <c r="BF36" s="22">
        <f t="shared" si="60"/>
        <v>0</v>
      </c>
      <c r="BG36" s="22">
        <f t="shared" si="60"/>
        <v>0</v>
      </c>
      <c r="BH36" s="22">
        <f t="shared" si="60"/>
        <v>0</v>
      </c>
      <c r="BI36" s="22">
        <f t="shared" si="60"/>
        <v>0</v>
      </c>
      <c r="BJ36" s="22">
        <f t="shared" si="60"/>
        <v>0</v>
      </c>
      <c r="BK36" s="22">
        <f>N36</f>
        <v>0</v>
      </c>
      <c r="BL36" s="22">
        <f t="shared" si="60"/>
        <v>0</v>
      </c>
      <c r="BM36" s="22">
        <f t="shared" si="60"/>
        <v>0</v>
      </c>
      <c r="BN36" s="22">
        <f t="shared" si="60"/>
        <v>0</v>
      </c>
      <c r="BO36" s="22">
        <f t="shared" si="60"/>
        <v>0</v>
      </c>
      <c r="BP36" s="22">
        <f t="shared" si="60"/>
        <v>0</v>
      </c>
      <c r="BQ36" s="22">
        <f t="shared" si="60"/>
        <v>0</v>
      </c>
      <c r="BR36" s="22">
        <f t="shared" si="60"/>
        <v>0</v>
      </c>
      <c r="BS36" s="22">
        <f t="shared" si="60"/>
        <v>0</v>
      </c>
      <c r="BT36" s="22">
        <f t="shared" si="60"/>
        <v>0</v>
      </c>
      <c r="BU36" s="22">
        <f t="shared" si="60"/>
        <v>0</v>
      </c>
      <c r="BV36" s="22">
        <f t="shared" si="60"/>
        <v>0</v>
      </c>
    </row>
    <row r="37" spans="9:74" s="10" customFormat="1" hidden="1" outlineLevel="1">
      <c r="I37" s="106" t="str">
        <f t="shared" si="59"/>
        <v>Part Time Employees</v>
      </c>
      <c r="J37" s="384"/>
      <c r="K37" s="384"/>
      <c r="L37" s="384"/>
      <c r="M37" s="384"/>
      <c r="N37" s="384"/>
      <c r="O37" s="22">
        <f t="shared" ref="O37:O43" si="61">J37</f>
        <v>0</v>
      </c>
      <c r="P37" s="22">
        <f>O37</f>
        <v>0</v>
      </c>
      <c r="Q37" s="22">
        <f t="shared" ref="P37:AE43" si="62">P37</f>
        <v>0</v>
      </c>
      <c r="R37" s="22">
        <f t="shared" si="62"/>
        <v>0</v>
      </c>
      <c r="S37" s="22">
        <f t="shared" si="62"/>
        <v>0</v>
      </c>
      <c r="T37" s="22">
        <f t="shared" si="62"/>
        <v>0</v>
      </c>
      <c r="U37" s="22">
        <f t="shared" si="62"/>
        <v>0</v>
      </c>
      <c r="V37" s="22">
        <f t="shared" si="62"/>
        <v>0</v>
      </c>
      <c r="W37" s="22">
        <f t="shared" si="62"/>
        <v>0</v>
      </c>
      <c r="X37" s="22">
        <f t="shared" si="62"/>
        <v>0</v>
      </c>
      <c r="Y37" s="22">
        <f t="shared" si="62"/>
        <v>0</v>
      </c>
      <c r="Z37" s="22">
        <f t="shared" si="62"/>
        <v>0</v>
      </c>
      <c r="AA37" s="22">
        <f t="shared" ref="AA37:AA43" si="63">K37</f>
        <v>0</v>
      </c>
      <c r="AB37" s="22">
        <f t="shared" si="62"/>
        <v>0</v>
      </c>
      <c r="AC37" s="22">
        <f t="shared" si="62"/>
        <v>0</v>
      </c>
      <c r="AD37" s="22">
        <f t="shared" si="62"/>
        <v>0</v>
      </c>
      <c r="AE37" s="22">
        <f t="shared" si="62"/>
        <v>0</v>
      </c>
      <c r="AF37" s="22">
        <f t="shared" si="60"/>
        <v>0</v>
      </c>
      <c r="AG37" s="22">
        <f t="shared" si="60"/>
        <v>0</v>
      </c>
      <c r="AH37" s="22">
        <f t="shared" si="60"/>
        <v>0</v>
      </c>
      <c r="AI37" s="22">
        <f t="shared" si="60"/>
        <v>0</v>
      </c>
      <c r="AJ37" s="22">
        <f t="shared" si="60"/>
        <v>0</v>
      </c>
      <c r="AK37" s="22">
        <f t="shared" si="60"/>
        <v>0</v>
      </c>
      <c r="AL37" s="22">
        <f t="shared" si="60"/>
        <v>0</v>
      </c>
      <c r="AM37" s="22">
        <f t="shared" ref="AM37:AM43" si="64">L37</f>
        <v>0</v>
      </c>
      <c r="AN37" s="22">
        <f t="shared" si="60"/>
        <v>0</v>
      </c>
      <c r="AO37" s="22">
        <f t="shared" si="60"/>
        <v>0</v>
      </c>
      <c r="AP37" s="22">
        <f t="shared" si="60"/>
        <v>0</v>
      </c>
      <c r="AQ37" s="22">
        <f t="shared" si="60"/>
        <v>0</v>
      </c>
      <c r="AR37" s="22">
        <f t="shared" si="60"/>
        <v>0</v>
      </c>
      <c r="AS37" s="22">
        <f t="shared" si="60"/>
        <v>0</v>
      </c>
      <c r="AT37" s="22">
        <f t="shared" si="60"/>
        <v>0</v>
      </c>
      <c r="AU37" s="22">
        <f t="shared" si="60"/>
        <v>0</v>
      </c>
      <c r="AV37" s="22">
        <f t="shared" si="60"/>
        <v>0</v>
      </c>
      <c r="AW37" s="22">
        <f t="shared" si="60"/>
        <v>0</v>
      </c>
      <c r="AX37" s="22">
        <f t="shared" si="60"/>
        <v>0</v>
      </c>
      <c r="AY37" s="22">
        <f t="shared" ref="AY37:AY43" si="65">M37</f>
        <v>0</v>
      </c>
      <c r="AZ37" s="22">
        <f t="shared" si="60"/>
        <v>0</v>
      </c>
      <c r="BA37" s="22">
        <f t="shared" si="60"/>
        <v>0</v>
      </c>
      <c r="BB37" s="22">
        <f t="shared" si="60"/>
        <v>0</v>
      </c>
      <c r="BC37" s="22">
        <f t="shared" si="60"/>
        <v>0</v>
      </c>
      <c r="BD37" s="22">
        <f t="shared" si="60"/>
        <v>0</v>
      </c>
      <c r="BE37" s="22">
        <f t="shared" si="60"/>
        <v>0</v>
      </c>
      <c r="BF37" s="22">
        <f t="shared" si="60"/>
        <v>0</v>
      </c>
      <c r="BG37" s="22">
        <f t="shared" si="60"/>
        <v>0</v>
      </c>
      <c r="BH37" s="22">
        <f t="shared" si="60"/>
        <v>0</v>
      </c>
      <c r="BI37" s="22">
        <f t="shared" si="60"/>
        <v>0</v>
      </c>
      <c r="BJ37" s="22">
        <f t="shared" si="60"/>
        <v>0</v>
      </c>
      <c r="BK37" s="22">
        <f t="shared" ref="BK37:BK43" si="66">N37</f>
        <v>0</v>
      </c>
      <c r="BL37" s="22">
        <f t="shared" si="60"/>
        <v>0</v>
      </c>
      <c r="BM37" s="22">
        <f t="shared" si="60"/>
        <v>0</v>
      </c>
      <c r="BN37" s="22">
        <f t="shared" si="60"/>
        <v>0</v>
      </c>
      <c r="BO37" s="22">
        <f t="shared" si="60"/>
        <v>0</v>
      </c>
      <c r="BP37" s="22">
        <f t="shared" si="60"/>
        <v>0</v>
      </c>
      <c r="BQ37" s="22">
        <f t="shared" si="60"/>
        <v>0</v>
      </c>
      <c r="BR37" s="22">
        <f t="shared" si="60"/>
        <v>0</v>
      </c>
      <c r="BS37" s="22">
        <f t="shared" si="60"/>
        <v>0</v>
      </c>
      <c r="BT37" s="22">
        <f t="shared" si="60"/>
        <v>0</v>
      </c>
      <c r="BU37" s="22">
        <f t="shared" si="60"/>
        <v>0</v>
      </c>
      <c r="BV37" s="22">
        <f t="shared" si="60"/>
        <v>0</v>
      </c>
    </row>
    <row r="38" spans="9:74" s="10" customFormat="1" hidden="1" outlineLevel="1">
      <c r="I38" s="106" t="str">
        <f t="shared" si="59"/>
        <v>Full Time Employees</v>
      </c>
      <c r="J38" s="384"/>
      <c r="K38" s="384"/>
      <c r="L38" s="384"/>
      <c r="M38" s="384"/>
      <c r="N38" s="384"/>
      <c r="O38" s="22">
        <f t="shared" si="61"/>
        <v>0</v>
      </c>
      <c r="P38" s="22">
        <f t="shared" si="62"/>
        <v>0</v>
      </c>
      <c r="Q38" s="22">
        <f t="shared" si="60"/>
        <v>0</v>
      </c>
      <c r="R38" s="22">
        <f t="shared" si="60"/>
        <v>0</v>
      </c>
      <c r="S38" s="22">
        <f t="shared" si="60"/>
        <v>0</v>
      </c>
      <c r="T38" s="22">
        <f t="shared" si="60"/>
        <v>0</v>
      </c>
      <c r="U38" s="22">
        <f t="shared" si="60"/>
        <v>0</v>
      </c>
      <c r="V38" s="22">
        <f t="shared" si="60"/>
        <v>0</v>
      </c>
      <c r="W38" s="22">
        <f t="shared" si="60"/>
        <v>0</v>
      </c>
      <c r="X38" s="22">
        <f t="shared" si="60"/>
        <v>0</v>
      </c>
      <c r="Y38" s="22">
        <f t="shared" si="60"/>
        <v>0</v>
      </c>
      <c r="Z38" s="22">
        <f t="shared" si="60"/>
        <v>0</v>
      </c>
      <c r="AA38" s="22">
        <f t="shared" si="63"/>
        <v>0</v>
      </c>
      <c r="AB38" s="22">
        <f t="shared" si="60"/>
        <v>0</v>
      </c>
      <c r="AC38" s="22">
        <f t="shared" si="60"/>
        <v>0</v>
      </c>
      <c r="AD38" s="22">
        <f t="shared" si="60"/>
        <v>0</v>
      </c>
      <c r="AE38" s="22">
        <f t="shared" si="60"/>
        <v>0</v>
      </c>
      <c r="AF38" s="22">
        <f t="shared" si="60"/>
        <v>0</v>
      </c>
      <c r="AG38" s="22">
        <f t="shared" si="60"/>
        <v>0</v>
      </c>
      <c r="AH38" s="22">
        <f t="shared" si="60"/>
        <v>0</v>
      </c>
      <c r="AI38" s="22">
        <f t="shared" si="60"/>
        <v>0</v>
      </c>
      <c r="AJ38" s="22">
        <f t="shared" si="60"/>
        <v>0</v>
      </c>
      <c r="AK38" s="22">
        <f t="shared" si="60"/>
        <v>0</v>
      </c>
      <c r="AL38" s="22">
        <f t="shared" si="60"/>
        <v>0</v>
      </c>
      <c r="AM38" s="22">
        <f t="shared" si="64"/>
        <v>0</v>
      </c>
      <c r="AN38" s="22">
        <f t="shared" si="60"/>
        <v>0</v>
      </c>
      <c r="AO38" s="22">
        <f t="shared" si="60"/>
        <v>0</v>
      </c>
      <c r="AP38" s="22">
        <f t="shared" si="60"/>
        <v>0</v>
      </c>
      <c r="AQ38" s="22">
        <f t="shared" si="60"/>
        <v>0</v>
      </c>
      <c r="AR38" s="22">
        <f t="shared" si="60"/>
        <v>0</v>
      </c>
      <c r="AS38" s="22">
        <f t="shared" si="60"/>
        <v>0</v>
      </c>
      <c r="AT38" s="22">
        <f t="shared" si="60"/>
        <v>0</v>
      </c>
      <c r="AU38" s="22">
        <f t="shared" si="60"/>
        <v>0</v>
      </c>
      <c r="AV38" s="22">
        <f t="shared" si="60"/>
        <v>0</v>
      </c>
      <c r="AW38" s="22">
        <f t="shared" si="60"/>
        <v>0</v>
      </c>
      <c r="AX38" s="22">
        <f t="shared" si="60"/>
        <v>0</v>
      </c>
      <c r="AY38" s="22">
        <f t="shared" si="65"/>
        <v>0</v>
      </c>
      <c r="AZ38" s="22">
        <f t="shared" si="60"/>
        <v>0</v>
      </c>
      <c r="BA38" s="22">
        <f t="shared" si="60"/>
        <v>0</v>
      </c>
      <c r="BB38" s="22">
        <f t="shared" si="60"/>
        <v>0</v>
      </c>
      <c r="BC38" s="22">
        <f t="shared" si="60"/>
        <v>0</v>
      </c>
      <c r="BD38" s="22">
        <f t="shared" si="60"/>
        <v>0</v>
      </c>
      <c r="BE38" s="22">
        <f t="shared" si="60"/>
        <v>0</v>
      </c>
      <c r="BF38" s="22">
        <f t="shared" si="60"/>
        <v>0</v>
      </c>
      <c r="BG38" s="22">
        <f t="shared" si="60"/>
        <v>0</v>
      </c>
      <c r="BH38" s="22">
        <f t="shared" si="60"/>
        <v>0</v>
      </c>
      <c r="BI38" s="22">
        <f t="shared" si="60"/>
        <v>0</v>
      </c>
      <c r="BJ38" s="22">
        <f t="shared" si="60"/>
        <v>0</v>
      </c>
      <c r="BK38" s="22">
        <f t="shared" si="66"/>
        <v>0</v>
      </c>
      <c r="BL38" s="22">
        <f t="shared" si="60"/>
        <v>0</v>
      </c>
      <c r="BM38" s="22">
        <f t="shared" si="60"/>
        <v>0</v>
      </c>
      <c r="BN38" s="22">
        <f t="shared" si="60"/>
        <v>0</v>
      </c>
      <c r="BO38" s="22">
        <f t="shared" si="60"/>
        <v>0</v>
      </c>
      <c r="BP38" s="22">
        <f t="shared" si="60"/>
        <v>0</v>
      </c>
      <c r="BQ38" s="22">
        <f t="shared" si="60"/>
        <v>0</v>
      </c>
      <c r="BR38" s="22">
        <f t="shared" si="60"/>
        <v>0</v>
      </c>
      <c r="BS38" s="22">
        <f t="shared" si="60"/>
        <v>0</v>
      </c>
      <c r="BT38" s="22">
        <f t="shared" si="60"/>
        <v>0</v>
      </c>
      <c r="BU38" s="22">
        <f t="shared" si="60"/>
        <v>0</v>
      </c>
      <c r="BV38" s="22">
        <f t="shared" si="60"/>
        <v>0</v>
      </c>
    </row>
    <row r="39" spans="9:74" s="10" customFormat="1" hidden="1" outlineLevel="1">
      <c r="I39" s="106" t="str">
        <f t="shared" si="59"/>
        <v>Contractors</v>
      </c>
      <c r="J39" s="384"/>
      <c r="K39" s="384"/>
      <c r="L39" s="384"/>
      <c r="M39" s="384"/>
      <c r="N39" s="384"/>
      <c r="O39" s="22">
        <f t="shared" si="61"/>
        <v>0</v>
      </c>
      <c r="P39" s="22">
        <f t="shared" si="62"/>
        <v>0</v>
      </c>
      <c r="Q39" s="22">
        <f t="shared" si="60"/>
        <v>0</v>
      </c>
      <c r="R39" s="22">
        <f t="shared" si="60"/>
        <v>0</v>
      </c>
      <c r="S39" s="22">
        <f t="shared" si="60"/>
        <v>0</v>
      </c>
      <c r="T39" s="22">
        <f t="shared" si="60"/>
        <v>0</v>
      </c>
      <c r="U39" s="22">
        <f t="shared" si="60"/>
        <v>0</v>
      </c>
      <c r="V39" s="22">
        <f t="shared" si="60"/>
        <v>0</v>
      </c>
      <c r="W39" s="22">
        <f t="shared" si="60"/>
        <v>0</v>
      </c>
      <c r="X39" s="22">
        <f t="shared" si="60"/>
        <v>0</v>
      </c>
      <c r="Y39" s="22">
        <f t="shared" si="60"/>
        <v>0</v>
      </c>
      <c r="Z39" s="22">
        <f t="shared" si="60"/>
        <v>0</v>
      </c>
      <c r="AA39" s="22">
        <f t="shared" si="63"/>
        <v>0</v>
      </c>
      <c r="AB39" s="22">
        <f t="shared" si="60"/>
        <v>0</v>
      </c>
      <c r="AC39" s="22">
        <f t="shared" si="60"/>
        <v>0</v>
      </c>
      <c r="AD39" s="22">
        <f t="shared" si="60"/>
        <v>0</v>
      </c>
      <c r="AE39" s="22">
        <f t="shared" si="60"/>
        <v>0</v>
      </c>
      <c r="AF39" s="22">
        <f t="shared" si="60"/>
        <v>0</v>
      </c>
      <c r="AG39" s="22">
        <f t="shared" si="60"/>
        <v>0</v>
      </c>
      <c r="AH39" s="22">
        <f t="shared" si="60"/>
        <v>0</v>
      </c>
      <c r="AI39" s="22">
        <f t="shared" si="60"/>
        <v>0</v>
      </c>
      <c r="AJ39" s="22">
        <f t="shared" si="60"/>
        <v>0</v>
      </c>
      <c r="AK39" s="22">
        <f t="shared" si="60"/>
        <v>0</v>
      </c>
      <c r="AL39" s="22">
        <f t="shared" si="60"/>
        <v>0</v>
      </c>
      <c r="AM39" s="22">
        <f t="shared" si="64"/>
        <v>0</v>
      </c>
      <c r="AN39" s="22">
        <f t="shared" si="60"/>
        <v>0</v>
      </c>
      <c r="AO39" s="22">
        <f t="shared" si="60"/>
        <v>0</v>
      </c>
      <c r="AP39" s="22">
        <f t="shared" si="60"/>
        <v>0</v>
      </c>
      <c r="AQ39" s="22">
        <f t="shared" si="60"/>
        <v>0</v>
      </c>
      <c r="AR39" s="22">
        <f t="shared" si="60"/>
        <v>0</v>
      </c>
      <c r="AS39" s="22">
        <f t="shared" si="60"/>
        <v>0</v>
      </c>
      <c r="AT39" s="22">
        <f t="shared" si="60"/>
        <v>0</v>
      </c>
      <c r="AU39" s="22">
        <f t="shared" si="60"/>
        <v>0</v>
      </c>
      <c r="AV39" s="22">
        <f t="shared" si="60"/>
        <v>0</v>
      </c>
      <c r="AW39" s="22">
        <f t="shared" si="60"/>
        <v>0</v>
      </c>
      <c r="AX39" s="22">
        <f t="shared" si="60"/>
        <v>0</v>
      </c>
      <c r="AY39" s="22">
        <f t="shared" si="65"/>
        <v>0</v>
      </c>
      <c r="AZ39" s="22">
        <f t="shared" si="60"/>
        <v>0</v>
      </c>
      <c r="BA39" s="22">
        <f t="shared" si="60"/>
        <v>0</v>
      </c>
      <c r="BB39" s="22">
        <f t="shared" si="60"/>
        <v>0</v>
      </c>
      <c r="BC39" s="22">
        <f t="shared" si="60"/>
        <v>0</v>
      </c>
      <c r="BD39" s="22">
        <f t="shared" si="60"/>
        <v>0</v>
      </c>
      <c r="BE39" s="22">
        <f t="shared" si="60"/>
        <v>0</v>
      </c>
      <c r="BF39" s="22">
        <f t="shared" si="60"/>
        <v>0</v>
      </c>
      <c r="BG39" s="22">
        <f t="shared" si="60"/>
        <v>0</v>
      </c>
      <c r="BH39" s="22">
        <f t="shared" si="60"/>
        <v>0</v>
      </c>
      <c r="BI39" s="22">
        <f t="shared" si="60"/>
        <v>0</v>
      </c>
      <c r="BJ39" s="22">
        <f t="shared" si="60"/>
        <v>0</v>
      </c>
      <c r="BK39" s="22">
        <f t="shared" si="66"/>
        <v>0</v>
      </c>
      <c r="BL39" s="22">
        <f t="shared" si="60"/>
        <v>0</v>
      </c>
      <c r="BM39" s="22">
        <f t="shared" si="60"/>
        <v>0</v>
      </c>
      <c r="BN39" s="22">
        <f t="shared" si="60"/>
        <v>0</v>
      </c>
      <c r="BO39" s="22">
        <f t="shared" si="60"/>
        <v>0</v>
      </c>
      <c r="BP39" s="22">
        <f t="shared" si="60"/>
        <v>0</v>
      </c>
      <c r="BQ39" s="22">
        <f t="shared" si="60"/>
        <v>0</v>
      </c>
      <c r="BR39" s="22">
        <f t="shared" si="60"/>
        <v>0</v>
      </c>
      <c r="BS39" s="22">
        <f t="shared" si="60"/>
        <v>0</v>
      </c>
      <c r="BT39" s="22">
        <f t="shared" si="60"/>
        <v>0</v>
      </c>
      <c r="BU39" s="22">
        <f t="shared" si="60"/>
        <v>0</v>
      </c>
      <c r="BV39" s="22">
        <f t="shared" si="60"/>
        <v>0</v>
      </c>
    </row>
    <row r="40" spans="9:74" s="10" customFormat="1" hidden="1" outlineLevel="1">
      <c r="I40" s="106" t="str">
        <f t="shared" si="59"/>
        <v>Employee 1</v>
      </c>
      <c r="J40" s="384"/>
      <c r="K40" s="384"/>
      <c r="L40" s="384"/>
      <c r="M40" s="384"/>
      <c r="N40" s="384"/>
      <c r="O40" s="22">
        <f t="shared" si="61"/>
        <v>0</v>
      </c>
      <c r="P40" s="22">
        <f t="shared" si="62"/>
        <v>0</v>
      </c>
      <c r="Q40" s="22">
        <f t="shared" si="60"/>
        <v>0</v>
      </c>
      <c r="R40" s="22">
        <f t="shared" si="60"/>
        <v>0</v>
      </c>
      <c r="S40" s="22">
        <f t="shared" si="60"/>
        <v>0</v>
      </c>
      <c r="T40" s="22">
        <f t="shared" si="60"/>
        <v>0</v>
      </c>
      <c r="U40" s="22">
        <f t="shared" si="60"/>
        <v>0</v>
      </c>
      <c r="V40" s="22">
        <f t="shared" si="60"/>
        <v>0</v>
      </c>
      <c r="W40" s="22">
        <f t="shared" si="60"/>
        <v>0</v>
      </c>
      <c r="X40" s="22">
        <f t="shared" si="60"/>
        <v>0</v>
      </c>
      <c r="Y40" s="22">
        <f t="shared" si="60"/>
        <v>0</v>
      </c>
      <c r="Z40" s="22">
        <f t="shared" si="60"/>
        <v>0</v>
      </c>
      <c r="AA40" s="22">
        <f t="shared" si="63"/>
        <v>0</v>
      </c>
      <c r="AB40" s="22">
        <f t="shared" si="60"/>
        <v>0</v>
      </c>
      <c r="AC40" s="22">
        <f t="shared" si="60"/>
        <v>0</v>
      </c>
      <c r="AD40" s="22">
        <f t="shared" si="60"/>
        <v>0</v>
      </c>
      <c r="AE40" s="22">
        <f t="shared" si="60"/>
        <v>0</v>
      </c>
      <c r="AF40" s="22">
        <f t="shared" si="60"/>
        <v>0</v>
      </c>
      <c r="AG40" s="22">
        <f t="shared" si="60"/>
        <v>0</v>
      </c>
      <c r="AH40" s="22">
        <f t="shared" si="60"/>
        <v>0</v>
      </c>
      <c r="AI40" s="22">
        <f t="shared" si="60"/>
        <v>0</v>
      </c>
      <c r="AJ40" s="22">
        <f t="shared" si="60"/>
        <v>0</v>
      </c>
      <c r="AK40" s="22">
        <f t="shared" si="60"/>
        <v>0</v>
      </c>
      <c r="AL40" s="22">
        <f t="shared" si="60"/>
        <v>0</v>
      </c>
      <c r="AM40" s="22">
        <f t="shared" si="64"/>
        <v>0</v>
      </c>
      <c r="AN40" s="22">
        <f t="shared" si="60"/>
        <v>0</v>
      </c>
      <c r="AO40" s="22">
        <f t="shared" si="60"/>
        <v>0</v>
      </c>
      <c r="AP40" s="22">
        <f t="shared" si="60"/>
        <v>0</v>
      </c>
      <c r="AQ40" s="22">
        <f t="shared" si="60"/>
        <v>0</v>
      </c>
      <c r="AR40" s="22">
        <f t="shared" si="60"/>
        <v>0</v>
      </c>
      <c r="AS40" s="22">
        <f t="shared" si="60"/>
        <v>0</v>
      </c>
      <c r="AT40" s="22">
        <f t="shared" si="60"/>
        <v>0</v>
      </c>
      <c r="AU40" s="22">
        <f t="shared" si="60"/>
        <v>0</v>
      </c>
      <c r="AV40" s="22">
        <f t="shared" si="60"/>
        <v>0</v>
      </c>
      <c r="AW40" s="22">
        <f t="shared" si="60"/>
        <v>0</v>
      </c>
      <c r="AX40" s="22">
        <f t="shared" si="60"/>
        <v>0</v>
      </c>
      <c r="AY40" s="22">
        <f t="shared" si="65"/>
        <v>0</v>
      </c>
      <c r="AZ40" s="22">
        <f t="shared" si="60"/>
        <v>0</v>
      </c>
      <c r="BA40" s="22">
        <f t="shared" si="60"/>
        <v>0</v>
      </c>
      <c r="BB40" s="22">
        <f t="shared" si="60"/>
        <v>0</v>
      </c>
      <c r="BC40" s="22">
        <f t="shared" ref="Q40:BV43" si="67">BB40</f>
        <v>0</v>
      </c>
      <c r="BD40" s="22">
        <f t="shared" si="67"/>
        <v>0</v>
      </c>
      <c r="BE40" s="22">
        <f t="shared" si="67"/>
        <v>0</v>
      </c>
      <c r="BF40" s="22">
        <f t="shared" si="67"/>
        <v>0</v>
      </c>
      <c r="BG40" s="22">
        <f t="shared" si="67"/>
        <v>0</v>
      </c>
      <c r="BH40" s="22">
        <f t="shared" si="67"/>
        <v>0</v>
      </c>
      <c r="BI40" s="22">
        <f t="shared" si="67"/>
        <v>0</v>
      </c>
      <c r="BJ40" s="22">
        <f t="shared" si="67"/>
        <v>0</v>
      </c>
      <c r="BK40" s="22">
        <f t="shared" si="66"/>
        <v>0</v>
      </c>
      <c r="BL40" s="22">
        <f t="shared" si="67"/>
        <v>0</v>
      </c>
      <c r="BM40" s="22">
        <f t="shared" si="67"/>
        <v>0</v>
      </c>
      <c r="BN40" s="22">
        <f t="shared" si="67"/>
        <v>0</v>
      </c>
      <c r="BO40" s="22">
        <f t="shared" si="67"/>
        <v>0</v>
      </c>
      <c r="BP40" s="22">
        <f t="shared" si="67"/>
        <v>0</v>
      </c>
      <c r="BQ40" s="22">
        <f t="shared" si="67"/>
        <v>0</v>
      </c>
      <c r="BR40" s="22">
        <f t="shared" si="67"/>
        <v>0</v>
      </c>
      <c r="BS40" s="22">
        <f t="shared" si="67"/>
        <v>0</v>
      </c>
      <c r="BT40" s="22">
        <f t="shared" si="67"/>
        <v>0</v>
      </c>
      <c r="BU40" s="22">
        <f t="shared" si="67"/>
        <v>0</v>
      </c>
      <c r="BV40" s="22">
        <f t="shared" si="67"/>
        <v>0</v>
      </c>
    </row>
    <row r="41" spans="9:74" s="10" customFormat="1" hidden="1" outlineLevel="1">
      <c r="I41" s="106" t="str">
        <f t="shared" si="59"/>
        <v>Employee 2</v>
      </c>
      <c r="J41" s="384"/>
      <c r="K41" s="384"/>
      <c r="L41" s="384"/>
      <c r="M41" s="384"/>
      <c r="N41" s="384"/>
      <c r="O41" s="22">
        <f t="shared" si="61"/>
        <v>0</v>
      </c>
      <c r="P41" s="22">
        <f t="shared" si="62"/>
        <v>0</v>
      </c>
      <c r="Q41" s="22">
        <f t="shared" si="67"/>
        <v>0</v>
      </c>
      <c r="R41" s="22">
        <f t="shared" si="67"/>
        <v>0</v>
      </c>
      <c r="S41" s="22">
        <f t="shared" si="67"/>
        <v>0</v>
      </c>
      <c r="T41" s="22">
        <f t="shared" si="67"/>
        <v>0</v>
      </c>
      <c r="U41" s="22">
        <f t="shared" si="67"/>
        <v>0</v>
      </c>
      <c r="V41" s="22">
        <f t="shared" si="67"/>
        <v>0</v>
      </c>
      <c r="W41" s="22">
        <f t="shared" si="67"/>
        <v>0</v>
      </c>
      <c r="X41" s="22">
        <f t="shared" si="67"/>
        <v>0</v>
      </c>
      <c r="Y41" s="22">
        <f t="shared" si="67"/>
        <v>0</v>
      </c>
      <c r="Z41" s="22">
        <f t="shared" si="67"/>
        <v>0</v>
      </c>
      <c r="AA41" s="22">
        <f t="shared" si="63"/>
        <v>0</v>
      </c>
      <c r="AB41" s="22">
        <f t="shared" si="67"/>
        <v>0</v>
      </c>
      <c r="AC41" s="22">
        <f t="shared" si="67"/>
        <v>0</v>
      </c>
      <c r="AD41" s="22">
        <f t="shared" si="67"/>
        <v>0</v>
      </c>
      <c r="AE41" s="22">
        <f t="shared" si="67"/>
        <v>0</v>
      </c>
      <c r="AF41" s="22">
        <f t="shared" si="67"/>
        <v>0</v>
      </c>
      <c r="AG41" s="22">
        <f t="shared" si="67"/>
        <v>0</v>
      </c>
      <c r="AH41" s="22">
        <f t="shared" si="67"/>
        <v>0</v>
      </c>
      <c r="AI41" s="22">
        <f t="shared" si="67"/>
        <v>0</v>
      </c>
      <c r="AJ41" s="22">
        <f t="shared" si="67"/>
        <v>0</v>
      </c>
      <c r="AK41" s="22">
        <f t="shared" si="67"/>
        <v>0</v>
      </c>
      <c r="AL41" s="22">
        <f t="shared" si="67"/>
        <v>0</v>
      </c>
      <c r="AM41" s="22">
        <f t="shared" si="64"/>
        <v>0</v>
      </c>
      <c r="AN41" s="22">
        <f t="shared" si="67"/>
        <v>0</v>
      </c>
      <c r="AO41" s="22">
        <f t="shared" si="67"/>
        <v>0</v>
      </c>
      <c r="AP41" s="22">
        <f t="shared" si="67"/>
        <v>0</v>
      </c>
      <c r="AQ41" s="22">
        <f t="shared" si="67"/>
        <v>0</v>
      </c>
      <c r="AR41" s="22">
        <f t="shared" si="67"/>
        <v>0</v>
      </c>
      <c r="AS41" s="22">
        <f t="shared" si="67"/>
        <v>0</v>
      </c>
      <c r="AT41" s="22">
        <f t="shared" si="67"/>
        <v>0</v>
      </c>
      <c r="AU41" s="22">
        <f t="shared" si="67"/>
        <v>0</v>
      </c>
      <c r="AV41" s="22">
        <f t="shared" si="67"/>
        <v>0</v>
      </c>
      <c r="AW41" s="22">
        <f t="shared" si="67"/>
        <v>0</v>
      </c>
      <c r="AX41" s="22">
        <f t="shared" si="67"/>
        <v>0</v>
      </c>
      <c r="AY41" s="22">
        <f t="shared" si="65"/>
        <v>0</v>
      </c>
      <c r="AZ41" s="22">
        <f t="shared" si="67"/>
        <v>0</v>
      </c>
      <c r="BA41" s="22">
        <f t="shared" si="67"/>
        <v>0</v>
      </c>
      <c r="BB41" s="22">
        <f t="shared" si="67"/>
        <v>0</v>
      </c>
      <c r="BC41" s="22">
        <f t="shared" si="67"/>
        <v>0</v>
      </c>
      <c r="BD41" s="22">
        <f t="shared" si="67"/>
        <v>0</v>
      </c>
      <c r="BE41" s="22">
        <f t="shared" si="67"/>
        <v>0</v>
      </c>
      <c r="BF41" s="22">
        <f t="shared" si="67"/>
        <v>0</v>
      </c>
      <c r="BG41" s="22">
        <f t="shared" si="67"/>
        <v>0</v>
      </c>
      <c r="BH41" s="22">
        <f t="shared" si="67"/>
        <v>0</v>
      </c>
      <c r="BI41" s="22">
        <f t="shared" si="67"/>
        <v>0</v>
      </c>
      <c r="BJ41" s="22">
        <f t="shared" si="67"/>
        <v>0</v>
      </c>
      <c r="BK41" s="22">
        <f t="shared" si="66"/>
        <v>0</v>
      </c>
      <c r="BL41" s="22">
        <f t="shared" si="67"/>
        <v>0</v>
      </c>
      <c r="BM41" s="22">
        <f t="shared" si="67"/>
        <v>0</v>
      </c>
      <c r="BN41" s="22">
        <f t="shared" si="67"/>
        <v>0</v>
      </c>
      <c r="BO41" s="22">
        <f t="shared" si="67"/>
        <v>0</v>
      </c>
      <c r="BP41" s="22">
        <f t="shared" si="67"/>
        <v>0</v>
      </c>
      <c r="BQ41" s="22">
        <f t="shared" si="67"/>
        <v>0</v>
      </c>
      <c r="BR41" s="22">
        <f t="shared" si="67"/>
        <v>0</v>
      </c>
      <c r="BS41" s="22">
        <f t="shared" si="67"/>
        <v>0</v>
      </c>
      <c r="BT41" s="22">
        <f t="shared" si="67"/>
        <v>0</v>
      </c>
      <c r="BU41" s="22">
        <f t="shared" si="67"/>
        <v>0</v>
      </c>
      <c r="BV41" s="22">
        <f t="shared" si="67"/>
        <v>0</v>
      </c>
    </row>
    <row r="42" spans="9:74" s="10" customFormat="1" hidden="1" outlineLevel="1">
      <c r="I42" s="106" t="str">
        <f t="shared" si="59"/>
        <v>Employee 3</v>
      </c>
      <c r="J42" s="384"/>
      <c r="K42" s="384"/>
      <c r="L42" s="384"/>
      <c r="M42" s="384"/>
      <c r="N42" s="384"/>
      <c r="O42" s="22">
        <f t="shared" si="61"/>
        <v>0</v>
      </c>
      <c r="P42" s="22">
        <f t="shared" si="62"/>
        <v>0</v>
      </c>
      <c r="Q42" s="22">
        <f t="shared" si="67"/>
        <v>0</v>
      </c>
      <c r="R42" s="22">
        <f t="shared" si="67"/>
        <v>0</v>
      </c>
      <c r="S42" s="22">
        <f t="shared" si="67"/>
        <v>0</v>
      </c>
      <c r="T42" s="22">
        <f t="shared" si="67"/>
        <v>0</v>
      </c>
      <c r="U42" s="22">
        <f t="shared" si="67"/>
        <v>0</v>
      </c>
      <c r="V42" s="22">
        <f t="shared" si="67"/>
        <v>0</v>
      </c>
      <c r="W42" s="22">
        <f t="shared" si="67"/>
        <v>0</v>
      </c>
      <c r="X42" s="22">
        <f t="shared" si="67"/>
        <v>0</v>
      </c>
      <c r="Y42" s="22">
        <f t="shared" si="67"/>
        <v>0</v>
      </c>
      <c r="Z42" s="22">
        <f t="shared" si="67"/>
        <v>0</v>
      </c>
      <c r="AA42" s="22">
        <f t="shared" si="63"/>
        <v>0</v>
      </c>
      <c r="AB42" s="22">
        <f t="shared" si="67"/>
        <v>0</v>
      </c>
      <c r="AC42" s="22">
        <f t="shared" si="67"/>
        <v>0</v>
      </c>
      <c r="AD42" s="22">
        <f t="shared" si="67"/>
        <v>0</v>
      </c>
      <c r="AE42" s="22">
        <f t="shared" si="67"/>
        <v>0</v>
      </c>
      <c r="AF42" s="22">
        <f t="shared" si="67"/>
        <v>0</v>
      </c>
      <c r="AG42" s="22">
        <f t="shared" si="67"/>
        <v>0</v>
      </c>
      <c r="AH42" s="22">
        <f t="shared" si="67"/>
        <v>0</v>
      </c>
      <c r="AI42" s="22">
        <f t="shared" si="67"/>
        <v>0</v>
      </c>
      <c r="AJ42" s="22">
        <f t="shared" si="67"/>
        <v>0</v>
      </c>
      <c r="AK42" s="22">
        <f t="shared" si="67"/>
        <v>0</v>
      </c>
      <c r="AL42" s="22">
        <f t="shared" si="67"/>
        <v>0</v>
      </c>
      <c r="AM42" s="22">
        <f t="shared" si="64"/>
        <v>0</v>
      </c>
      <c r="AN42" s="22">
        <f t="shared" si="67"/>
        <v>0</v>
      </c>
      <c r="AO42" s="22">
        <f t="shared" si="67"/>
        <v>0</v>
      </c>
      <c r="AP42" s="22">
        <f t="shared" si="67"/>
        <v>0</v>
      </c>
      <c r="AQ42" s="22">
        <f t="shared" si="67"/>
        <v>0</v>
      </c>
      <c r="AR42" s="22">
        <f t="shared" si="67"/>
        <v>0</v>
      </c>
      <c r="AS42" s="22">
        <f t="shared" si="67"/>
        <v>0</v>
      </c>
      <c r="AT42" s="22">
        <f t="shared" si="67"/>
        <v>0</v>
      </c>
      <c r="AU42" s="22">
        <f t="shared" si="67"/>
        <v>0</v>
      </c>
      <c r="AV42" s="22">
        <f t="shared" si="67"/>
        <v>0</v>
      </c>
      <c r="AW42" s="22">
        <f t="shared" si="67"/>
        <v>0</v>
      </c>
      <c r="AX42" s="22">
        <f t="shared" si="67"/>
        <v>0</v>
      </c>
      <c r="AY42" s="22">
        <f t="shared" si="65"/>
        <v>0</v>
      </c>
      <c r="AZ42" s="22">
        <f t="shared" si="67"/>
        <v>0</v>
      </c>
      <c r="BA42" s="22">
        <f t="shared" si="67"/>
        <v>0</v>
      </c>
      <c r="BB42" s="22">
        <f t="shared" si="67"/>
        <v>0</v>
      </c>
      <c r="BC42" s="22">
        <f t="shared" si="67"/>
        <v>0</v>
      </c>
      <c r="BD42" s="22">
        <f t="shared" si="67"/>
        <v>0</v>
      </c>
      <c r="BE42" s="22">
        <f t="shared" si="67"/>
        <v>0</v>
      </c>
      <c r="BF42" s="22">
        <f t="shared" si="67"/>
        <v>0</v>
      </c>
      <c r="BG42" s="22">
        <f t="shared" si="67"/>
        <v>0</v>
      </c>
      <c r="BH42" s="22">
        <f t="shared" si="67"/>
        <v>0</v>
      </c>
      <c r="BI42" s="22">
        <f t="shared" si="67"/>
        <v>0</v>
      </c>
      <c r="BJ42" s="22">
        <f t="shared" si="67"/>
        <v>0</v>
      </c>
      <c r="BK42" s="22">
        <f t="shared" si="66"/>
        <v>0</v>
      </c>
      <c r="BL42" s="22">
        <f t="shared" si="67"/>
        <v>0</v>
      </c>
      <c r="BM42" s="22">
        <f t="shared" si="67"/>
        <v>0</v>
      </c>
      <c r="BN42" s="22">
        <f t="shared" si="67"/>
        <v>0</v>
      </c>
      <c r="BO42" s="22">
        <f t="shared" si="67"/>
        <v>0</v>
      </c>
      <c r="BP42" s="22">
        <f t="shared" si="67"/>
        <v>0</v>
      </c>
      <c r="BQ42" s="22">
        <f t="shared" si="67"/>
        <v>0</v>
      </c>
      <c r="BR42" s="22">
        <f t="shared" si="67"/>
        <v>0</v>
      </c>
      <c r="BS42" s="22">
        <f t="shared" si="67"/>
        <v>0</v>
      </c>
      <c r="BT42" s="22">
        <f t="shared" si="67"/>
        <v>0</v>
      </c>
      <c r="BU42" s="22">
        <f t="shared" si="67"/>
        <v>0</v>
      </c>
      <c r="BV42" s="22">
        <f t="shared" si="67"/>
        <v>0</v>
      </c>
    </row>
    <row r="43" spans="9:74" s="10" customFormat="1" hidden="1" outlineLevel="1">
      <c r="I43" s="106" t="str">
        <f t="shared" si="59"/>
        <v>Employee 4</v>
      </c>
      <c r="J43" s="384"/>
      <c r="K43" s="384"/>
      <c r="L43" s="384"/>
      <c r="M43" s="384"/>
      <c r="N43" s="384"/>
      <c r="O43" s="22">
        <f t="shared" si="61"/>
        <v>0</v>
      </c>
      <c r="P43" s="22">
        <f t="shared" si="62"/>
        <v>0</v>
      </c>
      <c r="Q43" s="22">
        <f t="shared" si="67"/>
        <v>0</v>
      </c>
      <c r="R43" s="22">
        <f t="shared" si="67"/>
        <v>0</v>
      </c>
      <c r="S43" s="22">
        <f t="shared" si="67"/>
        <v>0</v>
      </c>
      <c r="T43" s="22">
        <f t="shared" si="67"/>
        <v>0</v>
      </c>
      <c r="U43" s="22">
        <f t="shared" si="67"/>
        <v>0</v>
      </c>
      <c r="V43" s="22">
        <f t="shared" si="67"/>
        <v>0</v>
      </c>
      <c r="W43" s="22">
        <f t="shared" si="67"/>
        <v>0</v>
      </c>
      <c r="X43" s="22">
        <f t="shared" si="67"/>
        <v>0</v>
      </c>
      <c r="Y43" s="22">
        <f t="shared" si="67"/>
        <v>0</v>
      </c>
      <c r="Z43" s="22">
        <f t="shared" si="67"/>
        <v>0</v>
      </c>
      <c r="AA43" s="22">
        <f t="shared" si="63"/>
        <v>0</v>
      </c>
      <c r="AB43" s="22">
        <f t="shared" si="67"/>
        <v>0</v>
      </c>
      <c r="AC43" s="22">
        <f t="shared" si="67"/>
        <v>0</v>
      </c>
      <c r="AD43" s="22">
        <f t="shared" si="67"/>
        <v>0</v>
      </c>
      <c r="AE43" s="22">
        <f t="shared" si="67"/>
        <v>0</v>
      </c>
      <c r="AF43" s="22">
        <f t="shared" si="67"/>
        <v>0</v>
      </c>
      <c r="AG43" s="22">
        <f t="shared" si="67"/>
        <v>0</v>
      </c>
      <c r="AH43" s="22">
        <f t="shared" si="67"/>
        <v>0</v>
      </c>
      <c r="AI43" s="22">
        <f t="shared" si="67"/>
        <v>0</v>
      </c>
      <c r="AJ43" s="22">
        <f t="shared" si="67"/>
        <v>0</v>
      </c>
      <c r="AK43" s="22">
        <f t="shared" si="67"/>
        <v>0</v>
      </c>
      <c r="AL43" s="22">
        <f t="shared" si="67"/>
        <v>0</v>
      </c>
      <c r="AM43" s="22">
        <f t="shared" si="64"/>
        <v>0</v>
      </c>
      <c r="AN43" s="22">
        <f t="shared" si="67"/>
        <v>0</v>
      </c>
      <c r="AO43" s="22">
        <f t="shared" si="67"/>
        <v>0</v>
      </c>
      <c r="AP43" s="22">
        <f t="shared" si="67"/>
        <v>0</v>
      </c>
      <c r="AQ43" s="22">
        <f t="shared" si="67"/>
        <v>0</v>
      </c>
      <c r="AR43" s="22">
        <f t="shared" si="67"/>
        <v>0</v>
      </c>
      <c r="AS43" s="22">
        <f t="shared" si="67"/>
        <v>0</v>
      </c>
      <c r="AT43" s="22">
        <f t="shared" si="67"/>
        <v>0</v>
      </c>
      <c r="AU43" s="22">
        <f t="shared" si="67"/>
        <v>0</v>
      </c>
      <c r="AV43" s="22">
        <f t="shared" si="67"/>
        <v>0</v>
      </c>
      <c r="AW43" s="22">
        <f t="shared" si="67"/>
        <v>0</v>
      </c>
      <c r="AX43" s="22">
        <f t="shared" si="67"/>
        <v>0</v>
      </c>
      <c r="AY43" s="22">
        <f t="shared" si="65"/>
        <v>0</v>
      </c>
      <c r="AZ43" s="22">
        <f t="shared" si="67"/>
        <v>0</v>
      </c>
      <c r="BA43" s="22">
        <f t="shared" si="67"/>
        <v>0</v>
      </c>
      <c r="BB43" s="22">
        <f t="shared" si="67"/>
        <v>0</v>
      </c>
      <c r="BC43" s="22">
        <f t="shared" si="67"/>
        <v>0</v>
      </c>
      <c r="BD43" s="22">
        <f t="shared" si="67"/>
        <v>0</v>
      </c>
      <c r="BE43" s="22">
        <f t="shared" si="67"/>
        <v>0</v>
      </c>
      <c r="BF43" s="22">
        <f t="shared" si="67"/>
        <v>0</v>
      </c>
      <c r="BG43" s="22">
        <f t="shared" si="67"/>
        <v>0</v>
      </c>
      <c r="BH43" s="22">
        <f t="shared" si="67"/>
        <v>0</v>
      </c>
      <c r="BI43" s="22">
        <f t="shared" si="67"/>
        <v>0</v>
      </c>
      <c r="BJ43" s="22">
        <f t="shared" si="67"/>
        <v>0</v>
      </c>
      <c r="BK43" s="22">
        <f t="shared" si="66"/>
        <v>0</v>
      </c>
      <c r="BL43" s="22">
        <f t="shared" si="67"/>
        <v>0</v>
      </c>
      <c r="BM43" s="22">
        <f t="shared" si="67"/>
        <v>0</v>
      </c>
      <c r="BN43" s="22">
        <f t="shared" si="67"/>
        <v>0</v>
      </c>
      <c r="BO43" s="22">
        <f t="shared" si="67"/>
        <v>0</v>
      </c>
      <c r="BP43" s="22">
        <f t="shared" si="67"/>
        <v>0</v>
      </c>
      <c r="BQ43" s="22">
        <f t="shared" si="67"/>
        <v>0</v>
      </c>
      <c r="BR43" s="22">
        <f t="shared" si="67"/>
        <v>0</v>
      </c>
      <c r="BS43" s="22">
        <f t="shared" si="67"/>
        <v>0</v>
      </c>
      <c r="BT43" s="22">
        <f t="shared" si="67"/>
        <v>0</v>
      </c>
      <c r="BU43" s="22">
        <f t="shared" si="67"/>
        <v>0</v>
      </c>
      <c r="BV43" s="22">
        <f t="shared" si="67"/>
        <v>0</v>
      </c>
    </row>
    <row r="44" spans="9:74" s="10" customFormat="1" hidden="1" outlineLevel="1">
      <c r="I44" s="106"/>
      <c r="J44" s="106"/>
      <c r="K44" s="178"/>
      <c r="L44" s="178"/>
      <c r="M44" s="178"/>
      <c r="N44" s="178"/>
      <c r="O44" s="22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</row>
    <row r="45" spans="9:74" s="10" customFormat="1" hidden="1" outlineLevel="1">
      <c r="I45" s="352" t="s">
        <v>242</v>
      </c>
      <c r="J45" s="357" t="s">
        <v>169</v>
      </c>
      <c r="K45" s="357"/>
      <c r="L45" s="357"/>
      <c r="M45" s="357"/>
      <c r="N45" s="357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9:74" s="10" customFormat="1" hidden="1" outlineLevel="1">
      <c r="I46" s="106" t="s">
        <v>170</v>
      </c>
      <c r="J46" s="154">
        <v>6.2E-2</v>
      </c>
      <c r="K46" s="106"/>
      <c r="L46" s="385"/>
      <c r="M46" s="385"/>
      <c r="N46" s="385"/>
      <c r="O46" s="22">
        <f t="shared" ref="O46:X53" si="68">(SUM(O$25:O$32))*$J46</f>
        <v>0</v>
      </c>
      <c r="P46" s="22">
        <f t="shared" si="68"/>
        <v>0</v>
      </c>
      <c r="Q46" s="22">
        <f t="shared" si="68"/>
        <v>0</v>
      </c>
      <c r="R46" s="22">
        <f t="shared" si="68"/>
        <v>0</v>
      </c>
      <c r="S46" s="22">
        <f t="shared" si="68"/>
        <v>0</v>
      </c>
      <c r="T46" s="22">
        <f t="shared" si="68"/>
        <v>0</v>
      </c>
      <c r="U46" s="22">
        <f t="shared" si="68"/>
        <v>0</v>
      </c>
      <c r="V46" s="22">
        <f t="shared" si="68"/>
        <v>0</v>
      </c>
      <c r="W46" s="22">
        <f t="shared" si="68"/>
        <v>0</v>
      </c>
      <c r="X46" s="22">
        <f t="shared" si="68"/>
        <v>0</v>
      </c>
      <c r="Y46" s="22">
        <f t="shared" ref="Y46:AH53" si="69">(SUM(Y$25:Y$32))*$J46</f>
        <v>0</v>
      </c>
      <c r="Z46" s="22">
        <f t="shared" si="69"/>
        <v>0</v>
      </c>
      <c r="AA46" s="22">
        <f t="shared" si="69"/>
        <v>0</v>
      </c>
      <c r="AB46" s="22">
        <f t="shared" si="69"/>
        <v>0</v>
      </c>
      <c r="AC46" s="22">
        <f t="shared" si="69"/>
        <v>0</v>
      </c>
      <c r="AD46" s="22">
        <f t="shared" si="69"/>
        <v>0</v>
      </c>
      <c r="AE46" s="22">
        <f t="shared" si="69"/>
        <v>0</v>
      </c>
      <c r="AF46" s="22">
        <f t="shared" si="69"/>
        <v>0</v>
      </c>
      <c r="AG46" s="22">
        <f t="shared" si="69"/>
        <v>0</v>
      </c>
      <c r="AH46" s="22">
        <f t="shared" si="69"/>
        <v>0</v>
      </c>
      <c r="AI46" s="22">
        <f t="shared" ref="AI46:AR53" si="70">(SUM(AI$25:AI$32))*$J46</f>
        <v>0</v>
      </c>
      <c r="AJ46" s="22">
        <f t="shared" si="70"/>
        <v>0</v>
      </c>
      <c r="AK46" s="22">
        <f t="shared" si="70"/>
        <v>0</v>
      </c>
      <c r="AL46" s="22">
        <f t="shared" si="70"/>
        <v>0</v>
      </c>
      <c r="AM46" s="22">
        <f t="shared" si="70"/>
        <v>0</v>
      </c>
      <c r="AN46" s="22">
        <f t="shared" si="70"/>
        <v>0</v>
      </c>
      <c r="AO46" s="22">
        <f t="shared" si="70"/>
        <v>0</v>
      </c>
      <c r="AP46" s="22">
        <f t="shared" si="70"/>
        <v>0</v>
      </c>
      <c r="AQ46" s="22">
        <f t="shared" si="70"/>
        <v>0</v>
      </c>
      <c r="AR46" s="22">
        <f t="shared" si="70"/>
        <v>0</v>
      </c>
      <c r="AS46" s="22">
        <f t="shared" ref="AS46:BB53" si="71">(SUM(AS$25:AS$32))*$J46</f>
        <v>0</v>
      </c>
      <c r="AT46" s="22">
        <f t="shared" si="71"/>
        <v>0</v>
      </c>
      <c r="AU46" s="22">
        <f t="shared" si="71"/>
        <v>0</v>
      </c>
      <c r="AV46" s="22">
        <f t="shared" si="71"/>
        <v>0</v>
      </c>
      <c r="AW46" s="22">
        <f t="shared" si="71"/>
        <v>0</v>
      </c>
      <c r="AX46" s="22">
        <f t="shared" si="71"/>
        <v>0</v>
      </c>
      <c r="AY46" s="22">
        <f t="shared" si="71"/>
        <v>0</v>
      </c>
      <c r="AZ46" s="22">
        <f t="shared" si="71"/>
        <v>0</v>
      </c>
      <c r="BA46" s="22">
        <f t="shared" si="71"/>
        <v>0</v>
      </c>
      <c r="BB46" s="22">
        <f t="shared" si="71"/>
        <v>0</v>
      </c>
      <c r="BC46" s="22">
        <f t="shared" ref="BC46:BL53" si="72">(SUM(BC$25:BC$32))*$J46</f>
        <v>0</v>
      </c>
      <c r="BD46" s="22">
        <f t="shared" si="72"/>
        <v>0</v>
      </c>
      <c r="BE46" s="22">
        <f t="shared" si="72"/>
        <v>0</v>
      </c>
      <c r="BF46" s="22">
        <f t="shared" si="72"/>
        <v>0</v>
      </c>
      <c r="BG46" s="22">
        <f t="shared" si="72"/>
        <v>0</v>
      </c>
      <c r="BH46" s="22">
        <f t="shared" si="72"/>
        <v>0</v>
      </c>
      <c r="BI46" s="22">
        <f t="shared" si="72"/>
        <v>0</v>
      </c>
      <c r="BJ46" s="22">
        <f t="shared" si="72"/>
        <v>0</v>
      </c>
      <c r="BK46" s="22">
        <f t="shared" si="72"/>
        <v>0</v>
      </c>
      <c r="BL46" s="22">
        <f t="shared" si="72"/>
        <v>0</v>
      </c>
      <c r="BM46" s="22">
        <f t="shared" ref="BM46:BV53" si="73">(SUM(BM$25:BM$32))*$J46</f>
        <v>0</v>
      </c>
      <c r="BN46" s="22">
        <f t="shared" si="73"/>
        <v>0</v>
      </c>
      <c r="BO46" s="22">
        <f t="shared" si="73"/>
        <v>0</v>
      </c>
      <c r="BP46" s="22">
        <f t="shared" si="73"/>
        <v>0</v>
      </c>
      <c r="BQ46" s="22">
        <f t="shared" si="73"/>
        <v>0</v>
      </c>
      <c r="BR46" s="22">
        <f t="shared" si="73"/>
        <v>0</v>
      </c>
      <c r="BS46" s="22">
        <f t="shared" si="73"/>
        <v>0</v>
      </c>
      <c r="BT46" s="22">
        <f t="shared" si="73"/>
        <v>0</v>
      </c>
      <c r="BU46" s="22">
        <f t="shared" si="73"/>
        <v>0</v>
      </c>
      <c r="BV46" s="22">
        <f t="shared" si="73"/>
        <v>0</v>
      </c>
    </row>
    <row r="47" spans="9:74" s="10" customFormat="1" hidden="1" outlineLevel="1">
      <c r="I47" s="106" t="s">
        <v>171</v>
      </c>
      <c r="J47" s="154">
        <v>1.4500000000000001E-2</v>
      </c>
      <c r="K47" s="106"/>
      <c r="L47" s="385"/>
      <c r="M47" s="385"/>
      <c r="N47" s="385"/>
      <c r="O47" s="22">
        <f t="shared" si="68"/>
        <v>0</v>
      </c>
      <c r="P47" s="22">
        <f t="shared" si="68"/>
        <v>0</v>
      </c>
      <c r="Q47" s="22">
        <f t="shared" si="68"/>
        <v>0</v>
      </c>
      <c r="R47" s="22">
        <f t="shared" si="68"/>
        <v>0</v>
      </c>
      <c r="S47" s="22">
        <f t="shared" si="68"/>
        <v>0</v>
      </c>
      <c r="T47" s="22">
        <f t="shared" si="68"/>
        <v>0</v>
      </c>
      <c r="U47" s="22">
        <f t="shared" si="68"/>
        <v>0</v>
      </c>
      <c r="V47" s="22">
        <f t="shared" si="68"/>
        <v>0</v>
      </c>
      <c r="W47" s="22">
        <f t="shared" si="68"/>
        <v>0</v>
      </c>
      <c r="X47" s="22">
        <f t="shared" si="68"/>
        <v>0</v>
      </c>
      <c r="Y47" s="22">
        <f t="shared" si="69"/>
        <v>0</v>
      </c>
      <c r="Z47" s="22">
        <f t="shared" si="69"/>
        <v>0</v>
      </c>
      <c r="AA47" s="22">
        <f t="shared" si="69"/>
        <v>0</v>
      </c>
      <c r="AB47" s="22">
        <f t="shared" si="69"/>
        <v>0</v>
      </c>
      <c r="AC47" s="22">
        <f t="shared" si="69"/>
        <v>0</v>
      </c>
      <c r="AD47" s="22">
        <f t="shared" si="69"/>
        <v>0</v>
      </c>
      <c r="AE47" s="22">
        <f t="shared" si="69"/>
        <v>0</v>
      </c>
      <c r="AF47" s="22">
        <f t="shared" si="69"/>
        <v>0</v>
      </c>
      <c r="AG47" s="22">
        <f t="shared" si="69"/>
        <v>0</v>
      </c>
      <c r="AH47" s="22">
        <f t="shared" si="69"/>
        <v>0</v>
      </c>
      <c r="AI47" s="22">
        <f t="shared" si="70"/>
        <v>0</v>
      </c>
      <c r="AJ47" s="22">
        <f t="shared" si="70"/>
        <v>0</v>
      </c>
      <c r="AK47" s="22">
        <f t="shared" si="70"/>
        <v>0</v>
      </c>
      <c r="AL47" s="22">
        <f t="shared" si="70"/>
        <v>0</v>
      </c>
      <c r="AM47" s="22">
        <f t="shared" si="70"/>
        <v>0</v>
      </c>
      <c r="AN47" s="22">
        <f t="shared" si="70"/>
        <v>0</v>
      </c>
      <c r="AO47" s="22">
        <f t="shared" si="70"/>
        <v>0</v>
      </c>
      <c r="AP47" s="22">
        <f t="shared" si="70"/>
        <v>0</v>
      </c>
      <c r="AQ47" s="22">
        <f t="shared" si="70"/>
        <v>0</v>
      </c>
      <c r="AR47" s="22">
        <f t="shared" si="70"/>
        <v>0</v>
      </c>
      <c r="AS47" s="22">
        <f t="shared" si="71"/>
        <v>0</v>
      </c>
      <c r="AT47" s="22">
        <f t="shared" si="71"/>
        <v>0</v>
      </c>
      <c r="AU47" s="22">
        <f t="shared" si="71"/>
        <v>0</v>
      </c>
      <c r="AV47" s="22">
        <f t="shared" si="71"/>
        <v>0</v>
      </c>
      <c r="AW47" s="22">
        <f t="shared" si="71"/>
        <v>0</v>
      </c>
      <c r="AX47" s="22">
        <f t="shared" si="71"/>
        <v>0</v>
      </c>
      <c r="AY47" s="22">
        <f t="shared" si="71"/>
        <v>0</v>
      </c>
      <c r="AZ47" s="22">
        <f t="shared" si="71"/>
        <v>0</v>
      </c>
      <c r="BA47" s="22">
        <f t="shared" si="71"/>
        <v>0</v>
      </c>
      <c r="BB47" s="22">
        <f t="shared" si="71"/>
        <v>0</v>
      </c>
      <c r="BC47" s="22">
        <f t="shared" si="72"/>
        <v>0</v>
      </c>
      <c r="BD47" s="22">
        <f t="shared" si="72"/>
        <v>0</v>
      </c>
      <c r="BE47" s="22">
        <f t="shared" si="72"/>
        <v>0</v>
      </c>
      <c r="BF47" s="22">
        <f t="shared" si="72"/>
        <v>0</v>
      </c>
      <c r="BG47" s="22">
        <f t="shared" si="72"/>
        <v>0</v>
      </c>
      <c r="BH47" s="22">
        <f t="shared" si="72"/>
        <v>0</v>
      </c>
      <c r="BI47" s="22">
        <f t="shared" si="72"/>
        <v>0</v>
      </c>
      <c r="BJ47" s="22">
        <f t="shared" si="72"/>
        <v>0</v>
      </c>
      <c r="BK47" s="22">
        <f t="shared" si="72"/>
        <v>0</v>
      </c>
      <c r="BL47" s="22">
        <f t="shared" si="72"/>
        <v>0</v>
      </c>
      <c r="BM47" s="22">
        <f t="shared" si="73"/>
        <v>0</v>
      </c>
      <c r="BN47" s="22">
        <f t="shared" si="73"/>
        <v>0</v>
      </c>
      <c r="BO47" s="22">
        <f t="shared" si="73"/>
        <v>0</v>
      </c>
      <c r="BP47" s="22">
        <f t="shared" si="73"/>
        <v>0</v>
      </c>
      <c r="BQ47" s="22">
        <f t="shared" si="73"/>
        <v>0</v>
      </c>
      <c r="BR47" s="22">
        <f t="shared" si="73"/>
        <v>0</v>
      </c>
      <c r="BS47" s="22">
        <f t="shared" si="73"/>
        <v>0</v>
      </c>
      <c r="BT47" s="22">
        <f t="shared" si="73"/>
        <v>0</v>
      </c>
      <c r="BU47" s="22">
        <f t="shared" si="73"/>
        <v>0</v>
      </c>
      <c r="BV47" s="22">
        <f t="shared" si="73"/>
        <v>0</v>
      </c>
    </row>
    <row r="48" spans="9:74" s="10" customFormat="1" hidden="1" outlineLevel="1">
      <c r="I48" s="106" t="s">
        <v>172</v>
      </c>
      <c r="J48" s="154">
        <v>6.0000000000000001E-3</v>
      </c>
      <c r="K48" s="106"/>
      <c r="L48" s="385"/>
      <c r="M48" s="385"/>
      <c r="N48" s="385"/>
      <c r="O48" s="22">
        <f t="shared" si="68"/>
        <v>0</v>
      </c>
      <c r="P48" s="22">
        <f t="shared" si="68"/>
        <v>0</v>
      </c>
      <c r="Q48" s="22">
        <f t="shared" si="68"/>
        <v>0</v>
      </c>
      <c r="R48" s="22">
        <f t="shared" si="68"/>
        <v>0</v>
      </c>
      <c r="S48" s="22">
        <f t="shared" si="68"/>
        <v>0</v>
      </c>
      <c r="T48" s="22">
        <f t="shared" si="68"/>
        <v>0</v>
      </c>
      <c r="U48" s="22">
        <f t="shared" si="68"/>
        <v>0</v>
      </c>
      <c r="V48" s="22">
        <f t="shared" si="68"/>
        <v>0</v>
      </c>
      <c r="W48" s="22">
        <f t="shared" si="68"/>
        <v>0</v>
      </c>
      <c r="X48" s="22">
        <f t="shared" si="68"/>
        <v>0</v>
      </c>
      <c r="Y48" s="22">
        <f t="shared" si="69"/>
        <v>0</v>
      </c>
      <c r="Z48" s="22">
        <f t="shared" si="69"/>
        <v>0</v>
      </c>
      <c r="AA48" s="22">
        <f t="shared" si="69"/>
        <v>0</v>
      </c>
      <c r="AB48" s="22">
        <f t="shared" si="69"/>
        <v>0</v>
      </c>
      <c r="AC48" s="22">
        <f t="shared" si="69"/>
        <v>0</v>
      </c>
      <c r="AD48" s="22">
        <f t="shared" si="69"/>
        <v>0</v>
      </c>
      <c r="AE48" s="22">
        <f t="shared" si="69"/>
        <v>0</v>
      </c>
      <c r="AF48" s="22">
        <f t="shared" si="69"/>
        <v>0</v>
      </c>
      <c r="AG48" s="22">
        <f t="shared" si="69"/>
        <v>0</v>
      </c>
      <c r="AH48" s="22">
        <f t="shared" si="69"/>
        <v>0</v>
      </c>
      <c r="AI48" s="22">
        <f t="shared" si="70"/>
        <v>0</v>
      </c>
      <c r="AJ48" s="22">
        <f t="shared" si="70"/>
        <v>0</v>
      </c>
      <c r="AK48" s="22">
        <f t="shared" si="70"/>
        <v>0</v>
      </c>
      <c r="AL48" s="22">
        <f t="shared" si="70"/>
        <v>0</v>
      </c>
      <c r="AM48" s="22">
        <f t="shared" si="70"/>
        <v>0</v>
      </c>
      <c r="AN48" s="22">
        <f t="shared" si="70"/>
        <v>0</v>
      </c>
      <c r="AO48" s="22">
        <f t="shared" si="70"/>
        <v>0</v>
      </c>
      <c r="AP48" s="22">
        <f t="shared" si="70"/>
        <v>0</v>
      </c>
      <c r="AQ48" s="22">
        <f t="shared" si="70"/>
        <v>0</v>
      </c>
      <c r="AR48" s="22">
        <f t="shared" si="70"/>
        <v>0</v>
      </c>
      <c r="AS48" s="22">
        <f t="shared" si="71"/>
        <v>0</v>
      </c>
      <c r="AT48" s="22">
        <f t="shared" si="71"/>
        <v>0</v>
      </c>
      <c r="AU48" s="22">
        <f t="shared" si="71"/>
        <v>0</v>
      </c>
      <c r="AV48" s="22">
        <f t="shared" si="71"/>
        <v>0</v>
      </c>
      <c r="AW48" s="22">
        <f t="shared" si="71"/>
        <v>0</v>
      </c>
      <c r="AX48" s="22">
        <f t="shared" si="71"/>
        <v>0</v>
      </c>
      <c r="AY48" s="22">
        <f t="shared" si="71"/>
        <v>0</v>
      </c>
      <c r="AZ48" s="22">
        <f t="shared" si="71"/>
        <v>0</v>
      </c>
      <c r="BA48" s="22">
        <f t="shared" si="71"/>
        <v>0</v>
      </c>
      <c r="BB48" s="22">
        <f t="shared" si="71"/>
        <v>0</v>
      </c>
      <c r="BC48" s="22">
        <f t="shared" si="72"/>
        <v>0</v>
      </c>
      <c r="BD48" s="22">
        <f t="shared" si="72"/>
        <v>0</v>
      </c>
      <c r="BE48" s="22">
        <f t="shared" si="72"/>
        <v>0</v>
      </c>
      <c r="BF48" s="22">
        <f t="shared" si="72"/>
        <v>0</v>
      </c>
      <c r="BG48" s="22">
        <f t="shared" si="72"/>
        <v>0</v>
      </c>
      <c r="BH48" s="22">
        <f t="shared" si="72"/>
        <v>0</v>
      </c>
      <c r="BI48" s="22">
        <f t="shared" si="72"/>
        <v>0</v>
      </c>
      <c r="BJ48" s="22">
        <f t="shared" si="72"/>
        <v>0</v>
      </c>
      <c r="BK48" s="22">
        <f t="shared" si="72"/>
        <v>0</v>
      </c>
      <c r="BL48" s="22">
        <f t="shared" si="72"/>
        <v>0</v>
      </c>
      <c r="BM48" s="22">
        <f t="shared" si="73"/>
        <v>0</v>
      </c>
      <c r="BN48" s="22">
        <f t="shared" si="73"/>
        <v>0</v>
      </c>
      <c r="BO48" s="22">
        <f t="shared" si="73"/>
        <v>0</v>
      </c>
      <c r="BP48" s="22">
        <f t="shared" si="73"/>
        <v>0</v>
      </c>
      <c r="BQ48" s="22">
        <f t="shared" si="73"/>
        <v>0</v>
      </c>
      <c r="BR48" s="22">
        <f t="shared" si="73"/>
        <v>0</v>
      </c>
      <c r="BS48" s="22">
        <f t="shared" si="73"/>
        <v>0</v>
      </c>
      <c r="BT48" s="22">
        <f t="shared" si="73"/>
        <v>0</v>
      </c>
      <c r="BU48" s="22">
        <f t="shared" si="73"/>
        <v>0</v>
      </c>
      <c r="BV48" s="22">
        <f t="shared" si="73"/>
        <v>0</v>
      </c>
    </row>
    <row r="49" spans="1:74" s="10" customFormat="1" hidden="1" outlineLevel="1">
      <c r="I49" s="106" t="s">
        <v>173</v>
      </c>
      <c r="J49" s="154">
        <v>3.4500000000000003E-2</v>
      </c>
      <c r="K49" s="106"/>
      <c r="L49" s="385"/>
      <c r="M49" s="385"/>
      <c r="N49" s="385"/>
      <c r="O49" s="22">
        <f t="shared" si="68"/>
        <v>0</v>
      </c>
      <c r="P49" s="22">
        <f t="shared" si="68"/>
        <v>0</v>
      </c>
      <c r="Q49" s="22">
        <f t="shared" si="68"/>
        <v>0</v>
      </c>
      <c r="R49" s="22">
        <f t="shared" si="68"/>
        <v>0</v>
      </c>
      <c r="S49" s="22">
        <f t="shared" si="68"/>
        <v>0</v>
      </c>
      <c r="T49" s="22">
        <f t="shared" si="68"/>
        <v>0</v>
      </c>
      <c r="U49" s="22">
        <f t="shared" si="68"/>
        <v>0</v>
      </c>
      <c r="V49" s="22">
        <f t="shared" si="68"/>
        <v>0</v>
      </c>
      <c r="W49" s="22">
        <f t="shared" si="68"/>
        <v>0</v>
      </c>
      <c r="X49" s="22">
        <f t="shared" si="68"/>
        <v>0</v>
      </c>
      <c r="Y49" s="22">
        <f t="shared" si="69"/>
        <v>0</v>
      </c>
      <c r="Z49" s="22">
        <f t="shared" si="69"/>
        <v>0</v>
      </c>
      <c r="AA49" s="22">
        <f t="shared" si="69"/>
        <v>0</v>
      </c>
      <c r="AB49" s="22">
        <f t="shared" si="69"/>
        <v>0</v>
      </c>
      <c r="AC49" s="22">
        <f t="shared" si="69"/>
        <v>0</v>
      </c>
      <c r="AD49" s="22">
        <f t="shared" si="69"/>
        <v>0</v>
      </c>
      <c r="AE49" s="22">
        <f t="shared" si="69"/>
        <v>0</v>
      </c>
      <c r="AF49" s="22">
        <f t="shared" si="69"/>
        <v>0</v>
      </c>
      <c r="AG49" s="22">
        <f t="shared" si="69"/>
        <v>0</v>
      </c>
      <c r="AH49" s="22">
        <f t="shared" si="69"/>
        <v>0</v>
      </c>
      <c r="AI49" s="22">
        <f t="shared" si="70"/>
        <v>0</v>
      </c>
      <c r="AJ49" s="22">
        <f t="shared" si="70"/>
        <v>0</v>
      </c>
      <c r="AK49" s="22">
        <f t="shared" si="70"/>
        <v>0</v>
      </c>
      <c r="AL49" s="22">
        <f t="shared" si="70"/>
        <v>0</v>
      </c>
      <c r="AM49" s="22">
        <f t="shared" si="70"/>
        <v>0</v>
      </c>
      <c r="AN49" s="22">
        <f t="shared" si="70"/>
        <v>0</v>
      </c>
      <c r="AO49" s="22">
        <f t="shared" si="70"/>
        <v>0</v>
      </c>
      <c r="AP49" s="22">
        <f t="shared" si="70"/>
        <v>0</v>
      </c>
      <c r="AQ49" s="22">
        <f t="shared" si="70"/>
        <v>0</v>
      </c>
      <c r="AR49" s="22">
        <f t="shared" si="70"/>
        <v>0</v>
      </c>
      <c r="AS49" s="22">
        <f t="shared" si="71"/>
        <v>0</v>
      </c>
      <c r="AT49" s="22">
        <f t="shared" si="71"/>
        <v>0</v>
      </c>
      <c r="AU49" s="22">
        <f t="shared" si="71"/>
        <v>0</v>
      </c>
      <c r="AV49" s="22">
        <f t="shared" si="71"/>
        <v>0</v>
      </c>
      <c r="AW49" s="22">
        <f t="shared" si="71"/>
        <v>0</v>
      </c>
      <c r="AX49" s="22">
        <f t="shared" si="71"/>
        <v>0</v>
      </c>
      <c r="AY49" s="22">
        <f t="shared" si="71"/>
        <v>0</v>
      </c>
      <c r="AZ49" s="22">
        <f t="shared" si="71"/>
        <v>0</v>
      </c>
      <c r="BA49" s="22">
        <f t="shared" si="71"/>
        <v>0</v>
      </c>
      <c r="BB49" s="22">
        <f t="shared" si="71"/>
        <v>0</v>
      </c>
      <c r="BC49" s="22">
        <f t="shared" si="72"/>
        <v>0</v>
      </c>
      <c r="BD49" s="22">
        <f t="shared" si="72"/>
        <v>0</v>
      </c>
      <c r="BE49" s="22">
        <f t="shared" si="72"/>
        <v>0</v>
      </c>
      <c r="BF49" s="22">
        <f t="shared" si="72"/>
        <v>0</v>
      </c>
      <c r="BG49" s="22">
        <f t="shared" si="72"/>
        <v>0</v>
      </c>
      <c r="BH49" s="22">
        <f t="shared" si="72"/>
        <v>0</v>
      </c>
      <c r="BI49" s="22">
        <f t="shared" si="72"/>
        <v>0</v>
      </c>
      <c r="BJ49" s="22">
        <f t="shared" si="72"/>
        <v>0</v>
      </c>
      <c r="BK49" s="22">
        <f t="shared" si="72"/>
        <v>0</v>
      </c>
      <c r="BL49" s="22">
        <f t="shared" si="72"/>
        <v>0</v>
      </c>
      <c r="BM49" s="22">
        <f t="shared" si="73"/>
        <v>0</v>
      </c>
      <c r="BN49" s="22">
        <f t="shared" si="73"/>
        <v>0</v>
      </c>
      <c r="BO49" s="22">
        <f t="shared" si="73"/>
        <v>0</v>
      </c>
      <c r="BP49" s="22">
        <f t="shared" si="73"/>
        <v>0</v>
      </c>
      <c r="BQ49" s="22">
        <f t="shared" si="73"/>
        <v>0</v>
      </c>
      <c r="BR49" s="22">
        <f t="shared" si="73"/>
        <v>0</v>
      </c>
      <c r="BS49" s="22">
        <f t="shared" si="73"/>
        <v>0</v>
      </c>
      <c r="BT49" s="22">
        <f t="shared" si="73"/>
        <v>0</v>
      </c>
      <c r="BU49" s="22">
        <f t="shared" si="73"/>
        <v>0</v>
      </c>
      <c r="BV49" s="22">
        <f t="shared" si="73"/>
        <v>0</v>
      </c>
    </row>
    <row r="50" spans="1:74" s="10" customFormat="1" hidden="1" outlineLevel="1">
      <c r="I50" s="106" t="s">
        <v>174</v>
      </c>
      <c r="J50" s="154">
        <v>0</v>
      </c>
      <c r="K50" s="106"/>
      <c r="L50" s="385"/>
      <c r="M50" s="385"/>
      <c r="N50" s="385"/>
      <c r="O50" s="22">
        <f t="shared" si="68"/>
        <v>0</v>
      </c>
      <c r="P50" s="22">
        <f t="shared" si="68"/>
        <v>0</v>
      </c>
      <c r="Q50" s="22">
        <f t="shared" si="68"/>
        <v>0</v>
      </c>
      <c r="R50" s="22">
        <f t="shared" si="68"/>
        <v>0</v>
      </c>
      <c r="S50" s="22">
        <f t="shared" si="68"/>
        <v>0</v>
      </c>
      <c r="T50" s="22">
        <f t="shared" si="68"/>
        <v>0</v>
      </c>
      <c r="U50" s="22">
        <f t="shared" si="68"/>
        <v>0</v>
      </c>
      <c r="V50" s="22">
        <f t="shared" si="68"/>
        <v>0</v>
      </c>
      <c r="W50" s="22">
        <f t="shared" si="68"/>
        <v>0</v>
      </c>
      <c r="X50" s="22">
        <f t="shared" si="68"/>
        <v>0</v>
      </c>
      <c r="Y50" s="22">
        <f t="shared" si="69"/>
        <v>0</v>
      </c>
      <c r="Z50" s="22">
        <f t="shared" si="69"/>
        <v>0</v>
      </c>
      <c r="AA50" s="22">
        <f t="shared" si="69"/>
        <v>0</v>
      </c>
      <c r="AB50" s="22">
        <f t="shared" si="69"/>
        <v>0</v>
      </c>
      <c r="AC50" s="22">
        <f t="shared" si="69"/>
        <v>0</v>
      </c>
      <c r="AD50" s="22">
        <f t="shared" si="69"/>
        <v>0</v>
      </c>
      <c r="AE50" s="22">
        <f t="shared" si="69"/>
        <v>0</v>
      </c>
      <c r="AF50" s="22">
        <f t="shared" si="69"/>
        <v>0</v>
      </c>
      <c r="AG50" s="22">
        <f t="shared" si="69"/>
        <v>0</v>
      </c>
      <c r="AH50" s="22">
        <f t="shared" si="69"/>
        <v>0</v>
      </c>
      <c r="AI50" s="22">
        <f t="shared" si="70"/>
        <v>0</v>
      </c>
      <c r="AJ50" s="22">
        <f t="shared" si="70"/>
        <v>0</v>
      </c>
      <c r="AK50" s="22">
        <f t="shared" si="70"/>
        <v>0</v>
      </c>
      <c r="AL50" s="22">
        <f t="shared" si="70"/>
        <v>0</v>
      </c>
      <c r="AM50" s="22">
        <f t="shared" si="70"/>
        <v>0</v>
      </c>
      <c r="AN50" s="22">
        <f t="shared" si="70"/>
        <v>0</v>
      </c>
      <c r="AO50" s="22">
        <f t="shared" si="70"/>
        <v>0</v>
      </c>
      <c r="AP50" s="22">
        <f t="shared" si="70"/>
        <v>0</v>
      </c>
      <c r="AQ50" s="22">
        <f t="shared" si="70"/>
        <v>0</v>
      </c>
      <c r="AR50" s="22">
        <f t="shared" si="70"/>
        <v>0</v>
      </c>
      <c r="AS50" s="22">
        <f t="shared" si="71"/>
        <v>0</v>
      </c>
      <c r="AT50" s="22">
        <f t="shared" si="71"/>
        <v>0</v>
      </c>
      <c r="AU50" s="22">
        <f t="shared" si="71"/>
        <v>0</v>
      </c>
      <c r="AV50" s="22">
        <f t="shared" si="71"/>
        <v>0</v>
      </c>
      <c r="AW50" s="22">
        <f t="shared" si="71"/>
        <v>0</v>
      </c>
      <c r="AX50" s="22">
        <f t="shared" si="71"/>
        <v>0</v>
      </c>
      <c r="AY50" s="22">
        <f t="shared" si="71"/>
        <v>0</v>
      </c>
      <c r="AZ50" s="22">
        <f t="shared" si="71"/>
        <v>0</v>
      </c>
      <c r="BA50" s="22">
        <f t="shared" si="71"/>
        <v>0</v>
      </c>
      <c r="BB50" s="22">
        <f t="shared" si="71"/>
        <v>0</v>
      </c>
      <c r="BC50" s="22">
        <f t="shared" si="72"/>
        <v>0</v>
      </c>
      <c r="BD50" s="22">
        <f t="shared" si="72"/>
        <v>0</v>
      </c>
      <c r="BE50" s="22">
        <f t="shared" si="72"/>
        <v>0</v>
      </c>
      <c r="BF50" s="22">
        <f t="shared" si="72"/>
        <v>0</v>
      </c>
      <c r="BG50" s="22">
        <f t="shared" si="72"/>
        <v>0</v>
      </c>
      <c r="BH50" s="22">
        <f t="shared" si="72"/>
        <v>0</v>
      </c>
      <c r="BI50" s="22">
        <f t="shared" si="72"/>
        <v>0</v>
      </c>
      <c r="BJ50" s="22">
        <f t="shared" si="72"/>
        <v>0</v>
      </c>
      <c r="BK50" s="22">
        <f t="shared" si="72"/>
        <v>0</v>
      </c>
      <c r="BL50" s="22">
        <f t="shared" si="72"/>
        <v>0</v>
      </c>
      <c r="BM50" s="22">
        <f t="shared" si="73"/>
        <v>0</v>
      </c>
      <c r="BN50" s="22">
        <f t="shared" si="73"/>
        <v>0</v>
      </c>
      <c r="BO50" s="22">
        <f t="shared" si="73"/>
        <v>0</v>
      </c>
      <c r="BP50" s="22">
        <f t="shared" si="73"/>
        <v>0</v>
      </c>
      <c r="BQ50" s="22">
        <f t="shared" si="73"/>
        <v>0</v>
      </c>
      <c r="BR50" s="22">
        <f t="shared" si="73"/>
        <v>0</v>
      </c>
      <c r="BS50" s="22">
        <f t="shared" si="73"/>
        <v>0</v>
      </c>
      <c r="BT50" s="22">
        <f t="shared" si="73"/>
        <v>0</v>
      </c>
      <c r="BU50" s="22">
        <f t="shared" si="73"/>
        <v>0</v>
      </c>
      <c r="BV50" s="22">
        <f t="shared" si="73"/>
        <v>0</v>
      </c>
    </row>
    <row r="51" spans="1:74" s="10" customFormat="1" hidden="1" outlineLevel="1">
      <c r="I51" s="106" t="s">
        <v>175</v>
      </c>
      <c r="J51" s="154">
        <v>0</v>
      </c>
      <c r="K51" s="106"/>
      <c r="L51" s="385"/>
      <c r="M51" s="385"/>
      <c r="N51" s="385"/>
      <c r="O51" s="22">
        <f t="shared" si="68"/>
        <v>0</v>
      </c>
      <c r="P51" s="22">
        <f t="shared" si="68"/>
        <v>0</v>
      </c>
      <c r="Q51" s="22">
        <f t="shared" si="68"/>
        <v>0</v>
      </c>
      <c r="R51" s="22">
        <f t="shared" si="68"/>
        <v>0</v>
      </c>
      <c r="S51" s="22">
        <f t="shared" si="68"/>
        <v>0</v>
      </c>
      <c r="T51" s="22">
        <f t="shared" si="68"/>
        <v>0</v>
      </c>
      <c r="U51" s="22">
        <f t="shared" si="68"/>
        <v>0</v>
      </c>
      <c r="V51" s="22">
        <f t="shared" si="68"/>
        <v>0</v>
      </c>
      <c r="W51" s="22">
        <f t="shared" si="68"/>
        <v>0</v>
      </c>
      <c r="X51" s="22">
        <f t="shared" si="68"/>
        <v>0</v>
      </c>
      <c r="Y51" s="22">
        <f t="shared" si="69"/>
        <v>0</v>
      </c>
      <c r="Z51" s="22">
        <f t="shared" si="69"/>
        <v>0</v>
      </c>
      <c r="AA51" s="22">
        <f t="shared" si="69"/>
        <v>0</v>
      </c>
      <c r="AB51" s="22">
        <f t="shared" si="69"/>
        <v>0</v>
      </c>
      <c r="AC51" s="22">
        <f t="shared" si="69"/>
        <v>0</v>
      </c>
      <c r="AD51" s="22">
        <f t="shared" si="69"/>
        <v>0</v>
      </c>
      <c r="AE51" s="22">
        <f t="shared" si="69"/>
        <v>0</v>
      </c>
      <c r="AF51" s="22">
        <f t="shared" si="69"/>
        <v>0</v>
      </c>
      <c r="AG51" s="22">
        <f t="shared" si="69"/>
        <v>0</v>
      </c>
      <c r="AH51" s="22">
        <f t="shared" si="69"/>
        <v>0</v>
      </c>
      <c r="AI51" s="22">
        <f t="shared" si="70"/>
        <v>0</v>
      </c>
      <c r="AJ51" s="22">
        <f t="shared" si="70"/>
        <v>0</v>
      </c>
      <c r="AK51" s="22">
        <f t="shared" si="70"/>
        <v>0</v>
      </c>
      <c r="AL51" s="22">
        <f t="shared" si="70"/>
        <v>0</v>
      </c>
      <c r="AM51" s="22">
        <f t="shared" si="70"/>
        <v>0</v>
      </c>
      <c r="AN51" s="22">
        <f t="shared" si="70"/>
        <v>0</v>
      </c>
      <c r="AO51" s="22">
        <f t="shared" si="70"/>
        <v>0</v>
      </c>
      <c r="AP51" s="22">
        <f t="shared" si="70"/>
        <v>0</v>
      </c>
      <c r="AQ51" s="22">
        <f t="shared" si="70"/>
        <v>0</v>
      </c>
      <c r="AR51" s="22">
        <f t="shared" si="70"/>
        <v>0</v>
      </c>
      <c r="AS51" s="22">
        <f t="shared" si="71"/>
        <v>0</v>
      </c>
      <c r="AT51" s="22">
        <f t="shared" si="71"/>
        <v>0</v>
      </c>
      <c r="AU51" s="22">
        <f t="shared" si="71"/>
        <v>0</v>
      </c>
      <c r="AV51" s="22">
        <f t="shared" si="71"/>
        <v>0</v>
      </c>
      <c r="AW51" s="22">
        <f t="shared" si="71"/>
        <v>0</v>
      </c>
      <c r="AX51" s="22">
        <f t="shared" si="71"/>
        <v>0</v>
      </c>
      <c r="AY51" s="22">
        <f t="shared" si="71"/>
        <v>0</v>
      </c>
      <c r="AZ51" s="22">
        <f t="shared" si="71"/>
        <v>0</v>
      </c>
      <c r="BA51" s="22">
        <f t="shared" si="71"/>
        <v>0</v>
      </c>
      <c r="BB51" s="22">
        <f t="shared" si="71"/>
        <v>0</v>
      </c>
      <c r="BC51" s="22">
        <f t="shared" si="72"/>
        <v>0</v>
      </c>
      <c r="BD51" s="22">
        <f t="shared" si="72"/>
        <v>0</v>
      </c>
      <c r="BE51" s="22">
        <f t="shared" si="72"/>
        <v>0</v>
      </c>
      <c r="BF51" s="22">
        <f t="shared" si="72"/>
        <v>0</v>
      </c>
      <c r="BG51" s="22">
        <f t="shared" si="72"/>
        <v>0</v>
      </c>
      <c r="BH51" s="22">
        <f t="shared" si="72"/>
        <v>0</v>
      </c>
      <c r="BI51" s="22">
        <f t="shared" si="72"/>
        <v>0</v>
      </c>
      <c r="BJ51" s="22">
        <f t="shared" si="72"/>
        <v>0</v>
      </c>
      <c r="BK51" s="22">
        <f t="shared" si="72"/>
        <v>0</v>
      </c>
      <c r="BL51" s="22">
        <f t="shared" si="72"/>
        <v>0</v>
      </c>
      <c r="BM51" s="22">
        <f t="shared" si="73"/>
        <v>0</v>
      </c>
      <c r="BN51" s="22">
        <f t="shared" si="73"/>
        <v>0</v>
      </c>
      <c r="BO51" s="22">
        <f t="shared" si="73"/>
        <v>0</v>
      </c>
      <c r="BP51" s="22">
        <f t="shared" si="73"/>
        <v>0</v>
      </c>
      <c r="BQ51" s="22">
        <f t="shared" si="73"/>
        <v>0</v>
      </c>
      <c r="BR51" s="22">
        <f t="shared" si="73"/>
        <v>0</v>
      </c>
      <c r="BS51" s="22">
        <f t="shared" si="73"/>
        <v>0</v>
      </c>
      <c r="BT51" s="22">
        <f t="shared" si="73"/>
        <v>0</v>
      </c>
      <c r="BU51" s="22">
        <f t="shared" si="73"/>
        <v>0</v>
      </c>
      <c r="BV51" s="22">
        <f t="shared" si="73"/>
        <v>0</v>
      </c>
    </row>
    <row r="52" spans="1:74" s="10" customFormat="1" hidden="1" outlineLevel="1">
      <c r="I52" s="106" t="s">
        <v>176</v>
      </c>
      <c r="J52" s="154">
        <v>0</v>
      </c>
      <c r="K52" s="106"/>
      <c r="L52" s="385"/>
      <c r="M52" s="385"/>
      <c r="N52" s="385"/>
      <c r="O52" s="22">
        <f t="shared" si="68"/>
        <v>0</v>
      </c>
      <c r="P52" s="22">
        <f t="shared" si="68"/>
        <v>0</v>
      </c>
      <c r="Q52" s="22">
        <f t="shared" si="68"/>
        <v>0</v>
      </c>
      <c r="R52" s="22">
        <f t="shared" si="68"/>
        <v>0</v>
      </c>
      <c r="S52" s="22">
        <f t="shared" si="68"/>
        <v>0</v>
      </c>
      <c r="T52" s="22">
        <f t="shared" si="68"/>
        <v>0</v>
      </c>
      <c r="U52" s="22">
        <f t="shared" si="68"/>
        <v>0</v>
      </c>
      <c r="V52" s="22">
        <f t="shared" si="68"/>
        <v>0</v>
      </c>
      <c r="W52" s="22">
        <f t="shared" si="68"/>
        <v>0</v>
      </c>
      <c r="X52" s="22">
        <f t="shared" si="68"/>
        <v>0</v>
      </c>
      <c r="Y52" s="22">
        <f t="shared" si="69"/>
        <v>0</v>
      </c>
      <c r="Z52" s="22">
        <f t="shared" si="69"/>
        <v>0</v>
      </c>
      <c r="AA52" s="22">
        <f t="shared" si="69"/>
        <v>0</v>
      </c>
      <c r="AB52" s="22">
        <f t="shared" si="69"/>
        <v>0</v>
      </c>
      <c r="AC52" s="22">
        <f t="shared" si="69"/>
        <v>0</v>
      </c>
      <c r="AD52" s="22">
        <f t="shared" si="69"/>
        <v>0</v>
      </c>
      <c r="AE52" s="22">
        <f t="shared" si="69"/>
        <v>0</v>
      </c>
      <c r="AF52" s="22">
        <f t="shared" si="69"/>
        <v>0</v>
      </c>
      <c r="AG52" s="22">
        <f t="shared" si="69"/>
        <v>0</v>
      </c>
      <c r="AH52" s="22">
        <f t="shared" si="69"/>
        <v>0</v>
      </c>
      <c r="AI52" s="22">
        <f t="shared" si="70"/>
        <v>0</v>
      </c>
      <c r="AJ52" s="22">
        <f t="shared" si="70"/>
        <v>0</v>
      </c>
      <c r="AK52" s="22">
        <f t="shared" si="70"/>
        <v>0</v>
      </c>
      <c r="AL52" s="22">
        <f t="shared" si="70"/>
        <v>0</v>
      </c>
      <c r="AM52" s="22">
        <f t="shared" si="70"/>
        <v>0</v>
      </c>
      <c r="AN52" s="22">
        <f t="shared" si="70"/>
        <v>0</v>
      </c>
      <c r="AO52" s="22">
        <f t="shared" si="70"/>
        <v>0</v>
      </c>
      <c r="AP52" s="22">
        <f t="shared" si="70"/>
        <v>0</v>
      </c>
      <c r="AQ52" s="22">
        <f t="shared" si="70"/>
        <v>0</v>
      </c>
      <c r="AR52" s="22">
        <f t="shared" si="70"/>
        <v>0</v>
      </c>
      <c r="AS52" s="22">
        <f t="shared" si="71"/>
        <v>0</v>
      </c>
      <c r="AT52" s="22">
        <f t="shared" si="71"/>
        <v>0</v>
      </c>
      <c r="AU52" s="22">
        <f t="shared" si="71"/>
        <v>0</v>
      </c>
      <c r="AV52" s="22">
        <f t="shared" si="71"/>
        <v>0</v>
      </c>
      <c r="AW52" s="22">
        <f t="shared" si="71"/>
        <v>0</v>
      </c>
      <c r="AX52" s="22">
        <f t="shared" si="71"/>
        <v>0</v>
      </c>
      <c r="AY52" s="22">
        <f t="shared" si="71"/>
        <v>0</v>
      </c>
      <c r="AZ52" s="22">
        <f t="shared" si="71"/>
        <v>0</v>
      </c>
      <c r="BA52" s="22">
        <f t="shared" si="71"/>
        <v>0</v>
      </c>
      <c r="BB52" s="22">
        <f t="shared" si="71"/>
        <v>0</v>
      </c>
      <c r="BC52" s="22">
        <f t="shared" si="72"/>
        <v>0</v>
      </c>
      <c r="BD52" s="22">
        <f t="shared" si="72"/>
        <v>0</v>
      </c>
      <c r="BE52" s="22">
        <f t="shared" si="72"/>
        <v>0</v>
      </c>
      <c r="BF52" s="22">
        <f t="shared" si="72"/>
        <v>0</v>
      </c>
      <c r="BG52" s="22">
        <f t="shared" si="72"/>
        <v>0</v>
      </c>
      <c r="BH52" s="22">
        <f t="shared" si="72"/>
        <v>0</v>
      </c>
      <c r="BI52" s="22">
        <f t="shared" si="72"/>
        <v>0</v>
      </c>
      <c r="BJ52" s="22">
        <f t="shared" si="72"/>
        <v>0</v>
      </c>
      <c r="BK52" s="22">
        <f t="shared" si="72"/>
        <v>0</v>
      </c>
      <c r="BL52" s="22">
        <f t="shared" si="72"/>
        <v>0</v>
      </c>
      <c r="BM52" s="22">
        <f t="shared" si="73"/>
        <v>0</v>
      </c>
      <c r="BN52" s="22">
        <f t="shared" si="73"/>
        <v>0</v>
      </c>
      <c r="BO52" s="22">
        <f t="shared" si="73"/>
        <v>0</v>
      </c>
      <c r="BP52" s="22">
        <f t="shared" si="73"/>
        <v>0</v>
      </c>
      <c r="BQ52" s="22">
        <f t="shared" si="73"/>
        <v>0</v>
      </c>
      <c r="BR52" s="22">
        <f t="shared" si="73"/>
        <v>0</v>
      </c>
      <c r="BS52" s="22">
        <f t="shared" si="73"/>
        <v>0</v>
      </c>
      <c r="BT52" s="22">
        <f t="shared" si="73"/>
        <v>0</v>
      </c>
      <c r="BU52" s="22">
        <f t="shared" si="73"/>
        <v>0</v>
      </c>
      <c r="BV52" s="22">
        <f t="shared" si="73"/>
        <v>0</v>
      </c>
    </row>
    <row r="53" spans="1:74" s="10" customFormat="1" hidden="1" outlineLevel="1">
      <c r="I53" s="106" t="s">
        <v>177</v>
      </c>
      <c r="J53" s="154">
        <v>0</v>
      </c>
      <c r="K53" s="106"/>
      <c r="L53" s="385"/>
      <c r="M53" s="385"/>
      <c r="N53" s="385"/>
      <c r="O53" s="22">
        <f t="shared" si="68"/>
        <v>0</v>
      </c>
      <c r="P53" s="22">
        <f t="shared" si="68"/>
        <v>0</v>
      </c>
      <c r="Q53" s="22">
        <f t="shared" si="68"/>
        <v>0</v>
      </c>
      <c r="R53" s="22">
        <f t="shared" si="68"/>
        <v>0</v>
      </c>
      <c r="S53" s="22">
        <f t="shared" si="68"/>
        <v>0</v>
      </c>
      <c r="T53" s="22">
        <f t="shared" si="68"/>
        <v>0</v>
      </c>
      <c r="U53" s="22">
        <f t="shared" si="68"/>
        <v>0</v>
      </c>
      <c r="V53" s="22">
        <f t="shared" si="68"/>
        <v>0</v>
      </c>
      <c r="W53" s="22">
        <f t="shared" si="68"/>
        <v>0</v>
      </c>
      <c r="X53" s="22">
        <f t="shared" si="68"/>
        <v>0</v>
      </c>
      <c r="Y53" s="22">
        <f t="shared" si="69"/>
        <v>0</v>
      </c>
      <c r="Z53" s="22">
        <f t="shared" si="69"/>
        <v>0</v>
      </c>
      <c r="AA53" s="22">
        <f t="shared" si="69"/>
        <v>0</v>
      </c>
      <c r="AB53" s="22">
        <f t="shared" si="69"/>
        <v>0</v>
      </c>
      <c r="AC53" s="22">
        <f t="shared" si="69"/>
        <v>0</v>
      </c>
      <c r="AD53" s="22">
        <f t="shared" si="69"/>
        <v>0</v>
      </c>
      <c r="AE53" s="22">
        <f t="shared" si="69"/>
        <v>0</v>
      </c>
      <c r="AF53" s="22">
        <f t="shared" si="69"/>
        <v>0</v>
      </c>
      <c r="AG53" s="22">
        <f t="shared" si="69"/>
        <v>0</v>
      </c>
      <c r="AH53" s="22">
        <f t="shared" si="69"/>
        <v>0</v>
      </c>
      <c r="AI53" s="22">
        <f t="shared" si="70"/>
        <v>0</v>
      </c>
      <c r="AJ53" s="22">
        <f t="shared" si="70"/>
        <v>0</v>
      </c>
      <c r="AK53" s="22">
        <f t="shared" si="70"/>
        <v>0</v>
      </c>
      <c r="AL53" s="22">
        <f t="shared" si="70"/>
        <v>0</v>
      </c>
      <c r="AM53" s="22">
        <f t="shared" si="70"/>
        <v>0</v>
      </c>
      <c r="AN53" s="22">
        <f t="shared" si="70"/>
        <v>0</v>
      </c>
      <c r="AO53" s="22">
        <f t="shared" si="70"/>
        <v>0</v>
      </c>
      <c r="AP53" s="22">
        <f t="shared" si="70"/>
        <v>0</v>
      </c>
      <c r="AQ53" s="22">
        <f t="shared" si="70"/>
        <v>0</v>
      </c>
      <c r="AR53" s="22">
        <f t="shared" si="70"/>
        <v>0</v>
      </c>
      <c r="AS53" s="22">
        <f t="shared" si="71"/>
        <v>0</v>
      </c>
      <c r="AT53" s="22">
        <f t="shared" si="71"/>
        <v>0</v>
      </c>
      <c r="AU53" s="22">
        <f t="shared" si="71"/>
        <v>0</v>
      </c>
      <c r="AV53" s="22">
        <f t="shared" si="71"/>
        <v>0</v>
      </c>
      <c r="AW53" s="22">
        <f t="shared" si="71"/>
        <v>0</v>
      </c>
      <c r="AX53" s="22">
        <f t="shared" si="71"/>
        <v>0</v>
      </c>
      <c r="AY53" s="22">
        <f t="shared" si="71"/>
        <v>0</v>
      </c>
      <c r="AZ53" s="22">
        <f t="shared" si="71"/>
        <v>0</v>
      </c>
      <c r="BA53" s="22">
        <f t="shared" si="71"/>
        <v>0</v>
      </c>
      <c r="BB53" s="22">
        <f t="shared" si="71"/>
        <v>0</v>
      </c>
      <c r="BC53" s="22">
        <f t="shared" si="72"/>
        <v>0</v>
      </c>
      <c r="BD53" s="22">
        <f t="shared" si="72"/>
        <v>0</v>
      </c>
      <c r="BE53" s="22">
        <f t="shared" si="72"/>
        <v>0</v>
      </c>
      <c r="BF53" s="22">
        <f t="shared" si="72"/>
        <v>0</v>
      </c>
      <c r="BG53" s="22">
        <f t="shared" si="72"/>
        <v>0</v>
      </c>
      <c r="BH53" s="22">
        <f t="shared" si="72"/>
        <v>0</v>
      </c>
      <c r="BI53" s="22">
        <f t="shared" si="72"/>
        <v>0</v>
      </c>
      <c r="BJ53" s="22">
        <f t="shared" si="72"/>
        <v>0</v>
      </c>
      <c r="BK53" s="22">
        <f t="shared" si="72"/>
        <v>0</v>
      </c>
      <c r="BL53" s="22">
        <f t="shared" si="72"/>
        <v>0</v>
      </c>
      <c r="BM53" s="22">
        <f t="shared" si="73"/>
        <v>0</v>
      </c>
      <c r="BN53" s="22">
        <f t="shared" si="73"/>
        <v>0</v>
      </c>
      <c r="BO53" s="22">
        <f t="shared" si="73"/>
        <v>0</v>
      </c>
      <c r="BP53" s="22">
        <f t="shared" si="73"/>
        <v>0</v>
      </c>
      <c r="BQ53" s="22">
        <f t="shared" si="73"/>
        <v>0</v>
      </c>
      <c r="BR53" s="22">
        <f t="shared" si="73"/>
        <v>0</v>
      </c>
      <c r="BS53" s="22">
        <f t="shared" si="73"/>
        <v>0</v>
      </c>
      <c r="BT53" s="22">
        <f t="shared" si="73"/>
        <v>0</v>
      </c>
      <c r="BU53" s="22">
        <f t="shared" si="73"/>
        <v>0</v>
      </c>
      <c r="BV53" s="22">
        <f t="shared" si="73"/>
        <v>0</v>
      </c>
    </row>
    <row r="54" spans="1:74" s="10" customFormat="1" hidden="1" outlineLevel="1">
      <c r="I54" s="140"/>
      <c r="J54" s="140"/>
      <c r="K54" s="140"/>
      <c r="L54" s="140"/>
      <c r="M54" s="140"/>
      <c r="N54" s="140"/>
      <c r="O54" s="141">
        <f>SUM(O25:O32)+SUM(O46:O53)</f>
        <v>0</v>
      </c>
      <c r="P54" s="141">
        <f t="shared" ref="P54:BV54" si="74">SUM(P25:P32)+SUM(P46:P53)</f>
        <v>0</v>
      </c>
      <c r="Q54" s="141">
        <f t="shared" si="74"/>
        <v>0</v>
      </c>
      <c r="R54" s="141">
        <f t="shared" si="74"/>
        <v>0</v>
      </c>
      <c r="S54" s="141">
        <f t="shared" si="74"/>
        <v>0</v>
      </c>
      <c r="T54" s="141">
        <f t="shared" si="74"/>
        <v>0</v>
      </c>
      <c r="U54" s="141">
        <f t="shared" si="74"/>
        <v>0</v>
      </c>
      <c r="V54" s="141">
        <f t="shared" si="74"/>
        <v>0</v>
      </c>
      <c r="W54" s="141">
        <f t="shared" si="74"/>
        <v>0</v>
      </c>
      <c r="X54" s="141">
        <f t="shared" si="74"/>
        <v>0</v>
      </c>
      <c r="Y54" s="141">
        <f t="shared" si="74"/>
        <v>0</v>
      </c>
      <c r="Z54" s="141">
        <f t="shared" si="74"/>
        <v>0</v>
      </c>
      <c r="AA54" s="141">
        <f t="shared" si="74"/>
        <v>0</v>
      </c>
      <c r="AB54" s="141">
        <f t="shared" si="74"/>
        <v>0</v>
      </c>
      <c r="AC54" s="141">
        <f t="shared" si="74"/>
        <v>0</v>
      </c>
      <c r="AD54" s="141">
        <f t="shared" si="74"/>
        <v>0</v>
      </c>
      <c r="AE54" s="141">
        <f t="shared" si="74"/>
        <v>0</v>
      </c>
      <c r="AF54" s="141">
        <f t="shared" si="74"/>
        <v>0</v>
      </c>
      <c r="AG54" s="141">
        <f t="shared" si="74"/>
        <v>0</v>
      </c>
      <c r="AH54" s="141">
        <f t="shared" si="74"/>
        <v>0</v>
      </c>
      <c r="AI54" s="141">
        <f t="shared" si="74"/>
        <v>0</v>
      </c>
      <c r="AJ54" s="141">
        <f t="shared" si="74"/>
        <v>0</v>
      </c>
      <c r="AK54" s="141">
        <f t="shared" si="74"/>
        <v>0</v>
      </c>
      <c r="AL54" s="141">
        <f t="shared" si="74"/>
        <v>0</v>
      </c>
      <c r="AM54" s="141">
        <f t="shared" si="74"/>
        <v>0</v>
      </c>
      <c r="AN54" s="141">
        <f t="shared" si="74"/>
        <v>0</v>
      </c>
      <c r="AO54" s="141">
        <f t="shared" si="74"/>
        <v>0</v>
      </c>
      <c r="AP54" s="141">
        <f t="shared" si="74"/>
        <v>0</v>
      </c>
      <c r="AQ54" s="141">
        <f t="shared" si="74"/>
        <v>0</v>
      </c>
      <c r="AR54" s="141">
        <f t="shared" si="74"/>
        <v>0</v>
      </c>
      <c r="AS54" s="141">
        <f t="shared" si="74"/>
        <v>0</v>
      </c>
      <c r="AT54" s="141">
        <f t="shared" si="74"/>
        <v>0</v>
      </c>
      <c r="AU54" s="141">
        <f t="shared" si="74"/>
        <v>0</v>
      </c>
      <c r="AV54" s="141">
        <f t="shared" si="74"/>
        <v>0</v>
      </c>
      <c r="AW54" s="141">
        <f t="shared" si="74"/>
        <v>0</v>
      </c>
      <c r="AX54" s="141">
        <f t="shared" si="74"/>
        <v>0</v>
      </c>
      <c r="AY54" s="141">
        <f t="shared" si="74"/>
        <v>0</v>
      </c>
      <c r="AZ54" s="141">
        <f t="shared" si="74"/>
        <v>0</v>
      </c>
      <c r="BA54" s="141">
        <f t="shared" si="74"/>
        <v>0</v>
      </c>
      <c r="BB54" s="141">
        <f t="shared" si="74"/>
        <v>0</v>
      </c>
      <c r="BC54" s="141">
        <f t="shared" si="74"/>
        <v>0</v>
      </c>
      <c r="BD54" s="141">
        <f t="shared" si="74"/>
        <v>0</v>
      </c>
      <c r="BE54" s="141">
        <f t="shared" si="74"/>
        <v>0</v>
      </c>
      <c r="BF54" s="141">
        <f t="shared" si="74"/>
        <v>0</v>
      </c>
      <c r="BG54" s="141">
        <f t="shared" si="74"/>
        <v>0</v>
      </c>
      <c r="BH54" s="141">
        <f t="shared" si="74"/>
        <v>0</v>
      </c>
      <c r="BI54" s="141">
        <f t="shared" si="74"/>
        <v>0</v>
      </c>
      <c r="BJ54" s="141">
        <f t="shared" si="74"/>
        <v>0</v>
      </c>
      <c r="BK54" s="141">
        <f t="shared" si="74"/>
        <v>0</v>
      </c>
      <c r="BL54" s="141">
        <f t="shared" si="74"/>
        <v>0</v>
      </c>
      <c r="BM54" s="141">
        <f t="shared" si="74"/>
        <v>0</v>
      </c>
      <c r="BN54" s="141">
        <f t="shared" si="74"/>
        <v>0</v>
      </c>
      <c r="BO54" s="141">
        <f t="shared" si="74"/>
        <v>0</v>
      </c>
      <c r="BP54" s="141">
        <f t="shared" si="74"/>
        <v>0</v>
      </c>
      <c r="BQ54" s="141">
        <f t="shared" si="74"/>
        <v>0</v>
      </c>
      <c r="BR54" s="141">
        <f t="shared" si="74"/>
        <v>0</v>
      </c>
      <c r="BS54" s="141">
        <f t="shared" si="74"/>
        <v>0</v>
      </c>
      <c r="BT54" s="141">
        <f t="shared" si="74"/>
        <v>0</v>
      </c>
      <c r="BU54" s="141">
        <f t="shared" si="74"/>
        <v>0</v>
      </c>
      <c r="BV54" s="141">
        <f t="shared" si="74"/>
        <v>0</v>
      </c>
    </row>
    <row r="55" spans="1:74" s="10" customFormat="1" hidden="1" outlineLevel="1">
      <c r="B55" s="350"/>
      <c r="C55" s="350"/>
      <c r="D55" s="350"/>
      <c r="E55" s="350"/>
      <c r="F55" s="350"/>
      <c r="G55" s="350"/>
      <c r="H55" s="350"/>
      <c r="I55" s="350"/>
      <c r="J55" s="350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  <c r="BL55" s="351"/>
      <c r="BM55" s="351"/>
      <c r="BN55" s="351"/>
      <c r="BO55" s="351"/>
      <c r="BP55" s="351"/>
      <c r="BQ55" s="351"/>
      <c r="BR55" s="351"/>
      <c r="BS55" s="353"/>
      <c r="BT55" s="27"/>
    </row>
    <row r="56" spans="1:74" s="10" customFormat="1" ht="20" hidden="1" collapsed="1">
      <c r="A56" s="125" t="s">
        <v>139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6"/>
      <c r="BO56" s="136"/>
      <c r="BP56" s="136"/>
      <c r="BQ56" s="136"/>
      <c r="BR56" s="136"/>
      <c r="BS56" s="136"/>
      <c r="BT56" s="136"/>
      <c r="BU56" s="136"/>
      <c r="BV56" s="136"/>
    </row>
    <row r="57" spans="1:74" s="27" customFormat="1" hidden="1">
      <c r="A57" s="142"/>
      <c r="B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</row>
    <row r="58" spans="1:74" s="10" customFormat="1" hidden="1" outlineLevel="1">
      <c r="B58" s="66"/>
      <c r="C58" s="381">
        <f>O58</f>
        <v>45261</v>
      </c>
      <c r="D58" s="381">
        <f>EDATE(C58,12)</f>
        <v>45627</v>
      </c>
      <c r="E58" s="381">
        <f t="shared" ref="E58:G58" si="75">EDATE(D58,12)</f>
        <v>45992</v>
      </c>
      <c r="F58" s="381">
        <f t="shared" si="75"/>
        <v>46357</v>
      </c>
      <c r="G58" s="381">
        <f t="shared" si="75"/>
        <v>46722</v>
      </c>
      <c r="H58" s="28"/>
      <c r="I58" s="133"/>
      <c r="J58" s="379" t="s">
        <v>264</v>
      </c>
      <c r="K58" s="536" t="s">
        <v>137</v>
      </c>
      <c r="L58" s="536"/>
      <c r="M58" s="536"/>
      <c r="N58" s="536"/>
      <c r="O58" s="535">
        <f>'2) Assumptions'!$D$2</f>
        <v>45261</v>
      </c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>
        <f>'2) Assumptions'!$E$2</f>
        <v>45627</v>
      </c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>
        <f>'2) Assumptions'!$F$2</f>
        <v>45992</v>
      </c>
      <c r="AN58" s="535"/>
      <c r="AO58" s="535"/>
      <c r="AP58" s="535"/>
      <c r="AQ58" s="535"/>
      <c r="AR58" s="535"/>
      <c r="AS58" s="535"/>
      <c r="AT58" s="535"/>
      <c r="AU58" s="535"/>
      <c r="AV58" s="535"/>
      <c r="AW58" s="535"/>
      <c r="AX58" s="535"/>
      <c r="AY58" s="535">
        <f>'2) Assumptions'!$G$2</f>
        <v>46357</v>
      </c>
      <c r="AZ58" s="535"/>
      <c r="BA58" s="535"/>
      <c r="BB58" s="535"/>
      <c r="BC58" s="535"/>
      <c r="BD58" s="535"/>
      <c r="BE58" s="535"/>
      <c r="BF58" s="535"/>
      <c r="BG58" s="535"/>
      <c r="BH58" s="535"/>
      <c r="BI58" s="535"/>
      <c r="BJ58" s="535"/>
      <c r="BK58" s="535">
        <f>'2) Assumptions'!$H$2</f>
        <v>46722</v>
      </c>
      <c r="BL58" s="535"/>
      <c r="BM58" s="535"/>
      <c r="BN58" s="535"/>
      <c r="BO58" s="535"/>
      <c r="BP58" s="535"/>
      <c r="BQ58" s="535"/>
      <c r="BR58" s="535"/>
      <c r="BS58" s="535"/>
      <c r="BT58" s="535"/>
      <c r="BU58" s="535"/>
      <c r="BV58" s="535"/>
    </row>
    <row r="59" spans="1:74" s="10" customFormat="1" hidden="1" outlineLevel="1">
      <c r="B59" s="63" t="s">
        <v>30</v>
      </c>
      <c r="C59" s="329">
        <f>SUM(O66:Z66)</f>
        <v>0</v>
      </c>
      <c r="D59" s="329">
        <f>SUM(AA66:AL66)</f>
        <v>0</v>
      </c>
      <c r="E59" s="329">
        <f>SUM(AM66:AX66)</f>
        <v>0</v>
      </c>
      <c r="F59" s="329">
        <f>SUM(AY66:BJ66)</f>
        <v>0</v>
      </c>
      <c r="G59" s="329">
        <f>SUM(BK66:BV66)</f>
        <v>0</v>
      </c>
      <c r="H59" s="28"/>
      <c r="I59" s="134"/>
      <c r="J59" s="134" t="s">
        <v>265</v>
      </c>
      <c r="K59" s="379">
        <f>EDATE(O58,12)</f>
        <v>45627</v>
      </c>
      <c r="L59" s="379">
        <f>EDATE(K59,12)</f>
        <v>45992</v>
      </c>
      <c r="M59" s="379">
        <f t="shared" ref="M59:N59" si="76">EDATE(L59,12)</f>
        <v>46357</v>
      </c>
      <c r="N59" s="379">
        <f t="shared" si="76"/>
        <v>46722</v>
      </c>
      <c r="O59" s="135">
        <f>EDATE('2) Assumptions'!$D$5,0)</f>
        <v>44927</v>
      </c>
      <c r="P59" s="135">
        <f>EDATE('2) Assumptions'!$D$5,1)</f>
        <v>44958</v>
      </c>
      <c r="Q59" s="135">
        <f>EDATE('2) Assumptions'!$D$5,2)</f>
        <v>44986</v>
      </c>
      <c r="R59" s="135">
        <f>EDATE('2) Assumptions'!$D$5,3)</f>
        <v>45017</v>
      </c>
      <c r="S59" s="135">
        <f>EDATE('2) Assumptions'!$D$5,4)</f>
        <v>45047</v>
      </c>
      <c r="T59" s="135">
        <f>EDATE('2) Assumptions'!$D$5,5)</f>
        <v>45078</v>
      </c>
      <c r="U59" s="135">
        <f>EDATE('2) Assumptions'!$D$5,6)</f>
        <v>45108</v>
      </c>
      <c r="V59" s="135">
        <f>EDATE('2) Assumptions'!$D$5,7)</f>
        <v>45139</v>
      </c>
      <c r="W59" s="135">
        <f>EDATE('2) Assumptions'!$D$5,8)</f>
        <v>45170</v>
      </c>
      <c r="X59" s="135">
        <f>EDATE('2) Assumptions'!$D$5,9)</f>
        <v>45200</v>
      </c>
      <c r="Y59" s="135">
        <f>EDATE('2) Assumptions'!$D$5,10)</f>
        <v>45231</v>
      </c>
      <c r="Z59" s="135">
        <f>EDATE('2) Assumptions'!$D$5,11)</f>
        <v>45261</v>
      </c>
      <c r="AA59" s="135">
        <f>EDATE('2) Assumptions'!$D$5,0)</f>
        <v>44927</v>
      </c>
      <c r="AB59" s="135">
        <f>EDATE('2) Assumptions'!$D$5,1)</f>
        <v>44958</v>
      </c>
      <c r="AC59" s="135">
        <f>EDATE('2) Assumptions'!$D$5,2)</f>
        <v>44986</v>
      </c>
      <c r="AD59" s="135">
        <f>EDATE('2) Assumptions'!$D$5,3)</f>
        <v>45017</v>
      </c>
      <c r="AE59" s="135">
        <f>EDATE('2) Assumptions'!$D$5,4)</f>
        <v>45047</v>
      </c>
      <c r="AF59" s="135">
        <f>EDATE('2) Assumptions'!$D$5,5)</f>
        <v>45078</v>
      </c>
      <c r="AG59" s="135">
        <f>EDATE('2) Assumptions'!$D$5,6)</f>
        <v>45108</v>
      </c>
      <c r="AH59" s="135">
        <f>EDATE('2) Assumptions'!$D$5,7)</f>
        <v>45139</v>
      </c>
      <c r="AI59" s="135">
        <f>EDATE('2) Assumptions'!$D$5,8)</f>
        <v>45170</v>
      </c>
      <c r="AJ59" s="135">
        <f>EDATE('2) Assumptions'!$D$5,9)</f>
        <v>45200</v>
      </c>
      <c r="AK59" s="135">
        <f>EDATE('2) Assumptions'!$D$5,10)</f>
        <v>45231</v>
      </c>
      <c r="AL59" s="135">
        <f>EDATE('2) Assumptions'!$D$5,11)</f>
        <v>45261</v>
      </c>
      <c r="AM59" s="135">
        <f>EDATE('2) Assumptions'!$D$5,0)</f>
        <v>44927</v>
      </c>
      <c r="AN59" s="135">
        <f>EDATE('2) Assumptions'!$D$5,1)</f>
        <v>44958</v>
      </c>
      <c r="AO59" s="135">
        <f>EDATE('2) Assumptions'!$D$5,2)</f>
        <v>44986</v>
      </c>
      <c r="AP59" s="135">
        <f>EDATE('2) Assumptions'!$D$5,3)</f>
        <v>45017</v>
      </c>
      <c r="AQ59" s="135">
        <f>EDATE('2) Assumptions'!$D$5,4)</f>
        <v>45047</v>
      </c>
      <c r="AR59" s="135">
        <f>EDATE('2) Assumptions'!$D$5,5)</f>
        <v>45078</v>
      </c>
      <c r="AS59" s="135">
        <f>EDATE('2) Assumptions'!$D$5,6)</f>
        <v>45108</v>
      </c>
      <c r="AT59" s="135">
        <f>EDATE('2) Assumptions'!$D$5,7)</f>
        <v>45139</v>
      </c>
      <c r="AU59" s="135">
        <f>EDATE('2) Assumptions'!$D$5,8)</f>
        <v>45170</v>
      </c>
      <c r="AV59" s="135">
        <f>EDATE('2) Assumptions'!$D$5,9)</f>
        <v>45200</v>
      </c>
      <c r="AW59" s="135">
        <f>EDATE('2) Assumptions'!$D$5,10)</f>
        <v>45231</v>
      </c>
      <c r="AX59" s="135">
        <f>EDATE('2) Assumptions'!$D$5,11)</f>
        <v>45261</v>
      </c>
      <c r="AY59" s="135">
        <f>EDATE('2) Assumptions'!$D$5,0)</f>
        <v>44927</v>
      </c>
      <c r="AZ59" s="135">
        <f>EDATE('2) Assumptions'!$D$5,1)</f>
        <v>44958</v>
      </c>
      <c r="BA59" s="135">
        <f>EDATE('2) Assumptions'!$D$5,2)</f>
        <v>44986</v>
      </c>
      <c r="BB59" s="135">
        <f>EDATE('2) Assumptions'!$D$5,3)</f>
        <v>45017</v>
      </c>
      <c r="BC59" s="135">
        <f>EDATE('2) Assumptions'!$D$5,4)</f>
        <v>45047</v>
      </c>
      <c r="BD59" s="135">
        <f>EDATE('2) Assumptions'!$D$5,5)</f>
        <v>45078</v>
      </c>
      <c r="BE59" s="135">
        <f>EDATE('2) Assumptions'!$D$5,6)</f>
        <v>45108</v>
      </c>
      <c r="BF59" s="135">
        <f>EDATE('2) Assumptions'!$D$5,7)</f>
        <v>45139</v>
      </c>
      <c r="BG59" s="135">
        <f>EDATE('2) Assumptions'!$D$5,8)</f>
        <v>45170</v>
      </c>
      <c r="BH59" s="135">
        <f>EDATE('2) Assumptions'!$D$5,9)</f>
        <v>45200</v>
      </c>
      <c r="BI59" s="135">
        <f>EDATE('2) Assumptions'!$D$5,10)</f>
        <v>45231</v>
      </c>
      <c r="BJ59" s="135">
        <f>EDATE('2) Assumptions'!$D$5,11)</f>
        <v>45261</v>
      </c>
      <c r="BK59" s="135">
        <f>EDATE('2) Assumptions'!$D$5,0)</f>
        <v>44927</v>
      </c>
      <c r="BL59" s="135">
        <f>EDATE('2) Assumptions'!$D$5,1)</f>
        <v>44958</v>
      </c>
      <c r="BM59" s="135">
        <f>EDATE('2) Assumptions'!$D$5,2)</f>
        <v>44986</v>
      </c>
      <c r="BN59" s="135">
        <f>EDATE('2) Assumptions'!$D$5,3)</f>
        <v>45017</v>
      </c>
      <c r="BO59" s="135">
        <f>EDATE('2) Assumptions'!$D$5,4)</f>
        <v>45047</v>
      </c>
      <c r="BP59" s="135">
        <f>EDATE('2) Assumptions'!$D$5,5)</f>
        <v>45078</v>
      </c>
      <c r="BQ59" s="135">
        <f>EDATE('2) Assumptions'!$D$5,6)</f>
        <v>45108</v>
      </c>
      <c r="BR59" s="135">
        <f>EDATE('2) Assumptions'!$D$5,7)</f>
        <v>45139</v>
      </c>
      <c r="BS59" s="135">
        <f>EDATE('2) Assumptions'!$D$5,8)</f>
        <v>45170</v>
      </c>
      <c r="BT59" s="135">
        <f>EDATE('2) Assumptions'!$D$5,9)</f>
        <v>45200</v>
      </c>
      <c r="BU59" s="135">
        <f>EDATE('2) Assumptions'!$D$5,10)</f>
        <v>45231</v>
      </c>
      <c r="BV59" s="135">
        <f>EDATE('2) Assumptions'!$D$5,11)</f>
        <v>45261</v>
      </c>
    </row>
    <row r="60" spans="1:74" s="10" customFormat="1" hidden="1" outlineLevel="1">
      <c r="H60" s="28"/>
      <c r="I60" s="106" t="s">
        <v>235</v>
      </c>
      <c r="J60" s="384"/>
      <c r="K60" s="60"/>
      <c r="L60" s="60"/>
      <c r="M60" s="60"/>
      <c r="N60" s="60"/>
      <c r="O60" s="22">
        <f t="shared" ref="O60:O65" si="77">J60</f>
        <v>0</v>
      </c>
      <c r="P60" s="20">
        <f t="shared" ref="P60:Z60" si="78">O60</f>
        <v>0</v>
      </c>
      <c r="Q60" s="20">
        <f t="shared" si="78"/>
        <v>0</v>
      </c>
      <c r="R60" s="20">
        <f t="shared" si="78"/>
        <v>0</v>
      </c>
      <c r="S60" s="20">
        <f t="shared" si="78"/>
        <v>0</v>
      </c>
      <c r="T60" s="20">
        <f t="shared" si="78"/>
        <v>0</v>
      </c>
      <c r="U60" s="20">
        <f t="shared" si="78"/>
        <v>0</v>
      </c>
      <c r="V60" s="20">
        <f t="shared" si="78"/>
        <v>0</v>
      </c>
      <c r="W60" s="20">
        <f t="shared" si="78"/>
        <v>0</v>
      </c>
      <c r="X60" s="20">
        <f t="shared" si="78"/>
        <v>0</v>
      </c>
      <c r="Y60" s="20">
        <f t="shared" si="78"/>
        <v>0</v>
      </c>
      <c r="Z60" s="20">
        <f t="shared" si="78"/>
        <v>0</v>
      </c>
      <c r="AA60" s="20">
        <f t="shared" ref="AA60:AA65" si="79">Z60*(1+$K60)</f>
        <v>0</v>
      </c>
      <c r="AB60" s="20">
        <f t="shared" ref="AB60:AL60" si="80">AA60</f>
        <v>0</v>
      </c>
      <c r="AC60" s="20">
        <f t="shared" si="80"/>
        <v>0</v>
      </c>
      <c r="AD60" s="20">
        <f t="shared" si="80"/>
        <v>0</v>
      </c>
      <c r="AE60" s="20">
        <f t="shared" si="80"/>
        <v>0</v>
      </c>
      <c r="AF60" s="20">
        <f t="shared" si="80"/>
        <v>0</v>
      </c>
      <c r="AG60" s="20">
        <f t="shared" si="80"/>
        <v>0</v>
      </c>
      <c r="AH60" s="20">
        <f t="shared" si="80"/>
        <v>0</v>
      </c>
      <c r="AI60" s="20">
        <f t="shared" si="80"/>
        <v>0</v>
      </c>
      <c r="AJ60" s="20">
        <f t="shared" si="80"/>
        <v>0</v>
      </c>
      <c r="AK60" s="20">
        <f t="shared" si="80"/>
        <v>0</v>
      </c>
      <c r="AL60" s="20">
        <f t="shared" si="80"/>
        <v>0</v>
      </c>
      <c r="AM60" s="20">
        <f t="shared" ref="AM60:AM65" si="81">AL60*(1+$L60)</f>
        <v>0</v>
      </c>
      <c r="AN60" s="20">
        <f t="shared" ref="AN60:AX60" si="82">AM60</f>
        <v>0</v>
      </c>
      <c r="AO60" s="20">
        <f t="shared" si="82"/>
        <v>0</v>
      </c>
      <c r="AP60" s="20">
        <f t="shared" si="82"/>
        <v>0</v>
      </c>
      <c r="AQ60" s="20">
        <f t="shared" si="82"/>
        <v>0</v>
      </c>
      <c r="AR60" s="20">
        <f t="shared" si="82"/>
        <v>0</v>
      </c>
      <c r="AS60" s="20">
        <f t="shared" si="82"/>
        <v>0</v>
      </c>
      <c r="AT60" s="20">
        <f t="shared" si="82"/>
        <v>0</v>
      </c>
      <c r="AU60" s="20">
        <f t="shared" si="82"/>
        <v>0</v>
      </c>
      <c r="AV60" s="20">
        <f t="shared" si="82"/>
        <v>0</v>
      </c>
      <c r="AW60" s="20">
        <f t="shared" si="82"/>
        <v>0</v>
      </c>
      <c r="AX60" s="20">
        <f t="shared" si="82"/>
        <v>0</v>
      </c>
      <c r="AY60" s="20">
        <f t="shared" ref="AY60:AY65" si="83">AX60*(1+$M60)</f>
        <v>0</v>
      </c>
      <c r="AZ60" s="20">
        <f t="shared" ref="AZ60:BJ60" si="84">AY60</f>
        <v>0</v>
      </c>
      <c r="BA60" s="20">
        <f t="shared" si="84"/>
        <v>0</v>
      </c>
      <c r="BB60" s="20">
        <f t="shared" si="84"/>
        <v>0</v>
      </c>
      <c r="BC60" s="20">
        <f t="shared" si="84"/>
        <v>0</v>
      </c>
      <c r="BD60" s="20">
        <f t="shared" si="84"/>
        <v>0</v>
      </c>
      <c r="BE60" s="20">
        <f t="shared" si="84"/>
        <v>0</v>
      </c>
      <c r="BF60" s="20">
        <f t="shared" si="84"/>
        <v>0</v>
      </c>
      <c r="BG60" s="20">
        <f t="shared" si="84"/>
        <v>0</v>
      </c>
      <c r="BH60" s="20">
        <f t="shared" si="84"/>
        <v>0</v>
      </c>
      <c r="BI60" s="20">
        <f t="shared" si="84"/>
        <v>0</v>
      </c>
      <c r="BJ60" s="20">
        <f t="shared" si="84"/>
        <v>0</v>
      </c>
      <c r="BK60" s="20">
        <f t="shared" ref="BK60:BK65" si="85">BJ60*(1+$N60)</f>
        <v>0</v>
      </c>
      <c r="BL60" s="20">
        <f t="shared" ref="BL60:BV60" si="86">BK60</f>
        <v>0</v>
      </c>
      <c r="BM60" s="20">
        <f t="shared" si="86"/>
        <v>0</v>
      </c>
      <c r="BN60" s="20">
        <f t="shared" si="86"/>
        <v>0</v>
      </c>
      <c r="BO60" s="20">
        <f t="shared" si="86"/>
        <v>0</v>
      </c>
      <c r="BP60" s="20">
        <f t="shared" si="86"/>
        <v>0</v>
      </c>
      <c r="BQ60" s="20">
        <f t="shared" si="86"/>
        <v>0</v>
      </c>
      <c r="BR60" s="20">
        <f t="shared" si="86"/>
        <v>0</v>
      </c>
      <c r="BS60" s="20">
        <f t="shared" si="86"/>
        <v>0</v>
      </c>
      <c r="BT60" s="20">
        <f t="shared" si="86"/>
        <v>0</v>
      </c>
      <c r="BU60" s="20">
        <f t="shared" si="86"/>
        <v>0</v>
      </c>
      <c r="BV60" s="20">
        <f t="shared" si="86"/>
        <v>0</v>
      </c>
    </row>
    <row r="61" spans="1:74" s="10" customFormat="1" hidden="1" outlineLevel="1">
      <c r="H61" s="28"/>
      <c r="I61" s="106"/>
      <c r="J61" s="384"/>
      <c r="K61" s="60"/>
      <c r="L61" s="60"/>
      <c r="M61" s="60"/>
      <c r="N61" s="60"/>
      <c r="O61" s="22">
        <f t="shared" si="77"/>
        <v>0</v>
      </c>
      <c r="P61" s="20">
        <f t="shared" ref="P61:Z61" si="87">O61</f>
        <v>0</v>
      </c>
      <c r="Q61" s="20">
        <f t="shared" si="87"/>
        <v>0</v>
      </c>
      <c r="R61" s="20">
        <f t="shared" si="87"/>
        <v>0</v>
      </c>
      <c r="S61" s="20">
        <f t="shared" si="87"/>
        <v>0</v>
      </c>
      <c r="T61" s="20">
        <f t="shared" si="87"/>
        <v>0</v>
      </c>
      <c r="U61" s="20">
        <f t="shared" si="87"/>
        <v>0</v>
      </c>
      <c r="V61" s="20">
        <f t="shared" si="87"/>
        <v>0</v>
      </c>
      <c r="W61" s="20">
        <f t="shared" si="87"/>
        <v>0</v>
      </c>
      <c r="X61" s="20">
        <f t="shared" si="87"/>
        <v>0</v>
      </c>
      <c r="Y61" s="20">
        <f t="shared" si="87"/>
        <v>0</v>
      </c>
      <c r="Z61" s="20">
        <f t="shared" si="87"/>
        <v>0</v>
      </c>
      <c r="AA61" s="20">
        <f t="shared" si="79"/>
        <v>0</v>
      </c>
      <c r="AB61" s="20">
        <f t="shared" ref="AB61:AL61" si="88">AA61</f>
        <v>0</v>
      </c>
      <c r="AC61" s="20">
        <f t="shared" si="88"/>
        <v>0</v>
      </c>
      <c r="AD61" s="20">
        <f t="shared" si="88"/>
        <v>0</v>
      </c>
      <c r="AE61" s="20">
        <f t="shared" si="88"/>
        <v>0</v>
      </c>
      <c r="AF61" s="20">
        <f t="shared" si="88"/>
        <v>0</v>
      </c>
      <c r="AG61" s="20">
        <f t="shared" si="88"/>
        <v>0</v>
      </c>
      <c r="AH61" s="20">
        <f t="shared" si="88"/>
        <v>0</v>
      </c>
      <c r="AI61" s="20">
        <f t="shared" si="88"/>
        <v>0</v>
      </c>
      <c r="AJ61" s="20">
        <f t="shared" si="88"/>
        <v>0</v>
      </c>
      <c r="AK61" s="20">
        <f t="shared" si="88"/>
        <v>0</v>
      </c>
      <c r="AL61" s="20">
        <f t="shared" si="88"/>
        <v>0</v>
      </c>
      <c r="AM61" s="20">
        <f t="shared" si="81"/>
        <v>0</v>
      </c>
      <c r="AN61" s="20">
        <f t="shared" ref="AN61:AX61" si="89">AM61</f>
        <v>0</v>
      </c>
      <c r="AO61" s="20">
        <f t="shared" si="89"/>
        <v>0</v>
      </c>
      <c r="AP61" s="20">
        <f t="shared" si="89"/>
        <v>0</v>
      </c>
      <c r="AQ61" s="20">
        <f t="shared" si="89"/>
        <v>0</v>
      </c>
      <c r="AR61" s="20">
        <f t="shared" si="89"/>
        <v>0</v>
      </c>
      <c r="AS61" s="20">
        <f t="shared" si="89"/>
        <v>0</v>
      </c>
      <c r="AT61" s="20">
        <f t="shared" si="89"/>
        <v>0</v>
      </c>
      <c r="AU61" s="20">
        <f t="shared" si="89"/>
        <v>0</v>
      </c>
      <c r="AV61" s="20">
        <f t="shared" si="89"/>
        <v>0</v>
      </c>
      <c r="AW61" s="20">
        <f t="shared" si="89"/>
        <v>0</v>
      </c>
      <c r="AX61" s="20">
        <f t="shared" si="89"/>
        <v>0</v>
      </c>
      <c r="AY61" s="20">
        <f t="shared" si="83"/>
        <v>0</v>
      </c>
      <c r="AZ61" s="20">
        <f t="shared" ref="AZ61:BJ61" si="90">AY61</f>
        <v>0</v>
      </c>
      <c r="BA61" s="20">
        <f t="shared" si="90"/>
        <v>0</v>
      </c>
      <c r="BB61" s="20">
        <f t="shared" si="90"/>
        <v>0</v>
      </c>
      <c r="BC61" s="20">
        <f t="shared" si="90"/>
        <v>0</v>
      </c>
      <c r="BD61" s="20">
        <f t="shared" si="90"/>
        <v>0</v>
      </c>
      <c r="BE61" s="20">
        <f t="shared" si="90"/>
        <v>0</v>
      </c>
      <c r="BF61" s="20">
        <f t="shared" si="90"/>
        <v>0</v>
      </c>
      <c r="BG61" s="20">
        <f t="shared" si="90"/>
        <v>0</v>
      </c>
      <c r="BH61" s="20">
        <f t="shared" si="90"/>
        <v>0</v>
      </c>
      <c r="BI61" s="20">
        <f t="shared" si="90"/>
        <v>0</v>
      </c>
      <c r="BJ61" s="20">
        <f t="shared" si="90"/>
        <v>0</v>
      </c>
      <c r="BK61" s="20">
        <f t="shared" si="85"/>
        <v>0</v>
      </c>
      <c r="BL61" s="20">
        <f t="shared" ref="BL61:BV61" si="91">BK61</f>
        <v>0</v>
      </c>
      <c r="BM61" s="20">
        <f t="shared" si="91"/>
        <v>0</v>
      </c>
      <c r="BN61" s="20">
        <f t="shared" si="91"/>
        <v>0</v>
      </c>
      <c r="BO61" s="20">
        <f t="shared" si="91"/>
        <v>0</v>
      </c>
      <c r="BP61" s="20">
        <f t="shared" si="91"/>
        <v>0</v>
      </c>
      <c r="BQ61" s="20">
        <f t="shared" si="91"/>
        <v>0</v>
      </c>
      <c r="BR61" s="20">
        <f t="shared" si="91"/>
        <v>0</v>
      </c>
      <c r="BS61" s="20">
        <f t="shared" si="91"/>
        <v>0</v>
      </c>
      <c r="BT61" s="20">
        <f t="shared" si="91"/>
        <v>0</v>
      </c>
      <c r="BU61" s="20">
        <f t="shared" si="91"/>
        <v>0</v>
      </c>
      <c r="BV61" s="20">
        <f t="shared" si="91"/>
        <v>0</v>
      </c>
    </row>
    <row r="62" spans="1:74" s="10" customFormat="1" hidden="1" outlineLevel="1">
      <c r="H62" s="28"/>
      <c r="I62" s="106"/>
      <c r="J62" s="384"/>
      <c r="K62" s="60"/>
      <c r="L62" s="60"/>
      <c r="M62" s="60"/>
      <c r="N62" s="60"/>
      <c r="O62" s="22">
        <f t="shared" si="77"/>
        <v>0</v>
      </c>
      <c r="P62" s="20">
        <f t="shared" ref="P62:Z62" si="92">O62</f>
        <v>0</v>
      </c>
      <c r="Q62" s="20">
        <f t="shared" si="92"/>
        <v>0</v>
      </c>
      <c r="R62" s="20">
        <f t="shared" si="92"/>
        <v>0</v>
      </c>
      <c r="S62" s="20">
        <f t="shared" si="92"/>
        <v>0</v>
      </c>
      <c r="T62" s="20">
        <f t="shared" si="92"/>
        <v>0</v>
      </c>
      <c r="U62" s="20">
        <f t="shared" si="92"/>
        <v>0</v>
      </c>
      <c r="V62" s="20">
        <f t="shared" si="92"/>
        <v>0</v>
      </c>
      <c r="W62" s="20">
        <f t="shared" si="92"/>
        <v>0</v>
      </c>
      <c r="X62" s="20">
        <f t="shared" si="92"/>
        <v>0</v>
      </c>
      <c r="Y62" s="20">
        <f t="shared" si="92"/>
        <v>0</v>
      </c>
      <c r="Z62" s="20">
        <f t="shared" si="92"/>
        <v>0</v>
      </c>
      <c r="AA62" s="20">
        <f t="shared" si="79"/>
        <v>0</v>
      </c>
      <c r="AB62" s="20">
        <f t="shared" ref="AB62:AL62" si="93">AA62</f>
        <v>0</v>
      </c>
      <c r="AC62" s="20">
        <f t="shared" si="93"/>
        <v>0</v>
      </c>
      <c r="AD62" s="20">
        <f t="shared" si="93"/>
        <v>0</v>
      </c>
      <c r="AE62" s="20">
        <f t="shared" si="93"/>
        <v>0</v>
      </c>
      <c r="AF62" s="20">
        <f t="shared" si="93"/>
        <v>0</v>
      </c>
      <c r="AG62" s="20">
        <f t="shared" si="93"/>
        <v>0</v>
      </c>
      <c r="AH62" s="20">
        <f t="shared" si="93"/>
        <v>0</v>
      </c>
      <c r="AI62" s="20">
        <f t="shared" si="93"/>
        <v>0</v>
      </c>
      <c r="AJ62" s="20">
        <f t="shared" si="93"/>
        <v>0</v>
      </c>
      <c r="AK62" s="20">
        <f t="shared" si="93"/>
        <v>0</v>
      </c>
      <c r="AL62" s="20">
        <f t="shared" si="93"/>
        <v>0</v>
      </c>
      <c r="AM62" s="20">
        <f t="shared" si="81"/>
        <v>0</v>
      </c>
      <c r="AN62" s="20">
        <f t="shared" ref="AN62:AX62" si="94">AM62</f>
        <v>0</v>
      </c>
      <c r="AO62" s="20">
        <f t="shared" si="94"/>
        <v>0</v>
      </c>
      <c r="AP62" s="20">
        <f t="shared" si="94"/>
        <v>0</v>
      </c>
      <c r="AQ62" s="20">
        <f t="shared" si="94"/>
        <v>0</v>
      </c>
      <c r="AR62" s="20">
        <f t="shared" si="94"/>
        <v>0</v>
      </c>
      <c r="AS62" s="20">
        <f t="shared" si="94"/>
        <v>0</v>
      </c>
      <c r="AT62" s="20">
        <f t="shared" si="94"/>
        <v>0</v>
      </c>
      <c r="AU62" s="20">
        <f t="shared" si="94"/>
        <v>0</v>
      </c>
      <c r="AV62" s="20">
        <f t="shared" si="94"/>
        <v>0</v>
      </c>
      <c r="AW62" s="20">
        <f t="shared" si="94"/>
        <v>0</v>
      </c>
      <c r="AX62" s="20">
        <f t="shared" si="94"/>
        <v>0</v>
      </c>
      <c r="AY62" s="20">
        <f t="shared" si="83"/>
        <v>0</v>
      </c>
      <c r="AZ62" s="20">
        <f t="shared" ref="AZ62:BJ62" si="95">AY62</f>
        <v>0</v>
      </c>
      <c r="BA62" s="20">
        <f t="shared" si="95"/>
        <v>0</v>
      </c>
      <c r="BB62" s="20">
        <f t="shared" si="95"/>
        <v>0</v>
      </c>
      <c r="BC62" s="20">
        <f t="shared" si="95"/>
        <v>0</v>
      </c>
      <c r="BD62" s="20">
        <f t="shared" si="95"/>
        <v>0</v>
      </c>
      <c r="BE62" s="20">
        <f t="shared" si="95"/>
        <v>0</v>
      </c>
      <c r="BF62" s="20">
        <f t="shared" si="95"/>
        <v>0</v>
      </c>
      <c r="BG62" s="20">
        <f t="shared" si="95"/>
        <v>0</v>
      </c>
      <c r="BH62" s="20">
        <f t="shared" si="95"/>
        <v>0</v>
      </c>
      <c r="BI62" s="20">
        <f t="shared" si="95"/>
        <v>0</v>
      </c>
      <c r="BJ62" s="20">
        <f t="shared" si="95"/>
        <v>0</v>
      </c>
      <c r="BK62" s="20">
        <f t="shared" si="85"/>
        <v>0</v>
      </c>
      <c r="BL62" s="20">
        <f t="shared" ref="BL62:BV62" si="96">BK62</f>
        <v>0</v>
      </c>
      <c r="BM62" s="20">
        <f t="shared" si="96"/>
        <v>0</v>
      </c>
      <c r="BN62" s="20">
        <f t="shared" si="96"/>
        <v>0</v>
      </c>
      <c r="BO62" s="20">
        <f t="shared" si="96"/>
        <v>0</v>
      </c>
      <c r="BP62" s="20">
        <f t="shared" si="96"/>
        <v>0</v>
      </c>
      <c r="BQ62" s="20">
        <f t="shared" si="96"/>
        <v>0</v>
      </c>
      <c r="BR62" s="20">
        <f t="shared" si="96"/>
        <v>0</v>
      </c>
      <c r="BS62" s="20">
        <f t="shared" si="96"/>
        <v>0</v>
      </c>
      <c r="BT62" s="20">
        <f t="shared" si="96"/>
        <v>0</v>
      </c>
      <c r="BU62" s="20">
        <f t="shared" si="96"/>
        <v>0</v>
      </c>
      <c r="BV62" s="20">
        <f t="shared" si="96"/>
        <v>0</v>
      </c>
    </row>
    <row r="63" spans="1:74" s="10" customFormat="1" hidden="1" outlineLevel="1">
      <c r="H63" s="28"/>
      <c r="I63" s="106"/>
      <c r="J63" s="384"/>
      <c r="K63" s="60"/>
      <c r="L63" s="60"/>
      <c r="M63" s="60"/>
      <c r="N63" s="60"/>
      <c r="O63" s="22">
        <f t="shared" si="77"/>
        <v>0</v>
      </c>
      <c r="P63" s="20">
        <f t="shared" ref="P63:Z63" si="97">O63</f>
        <v>0</v>
      </c>
      <c r="Q63" s="20">
        <f t="shared" si="97"/>
        <v>0</v>
      </c>
      <c r="R63" s="20">
        <f t="shared" si="97"/>
        <v>0</v>
      </c>
      <c r="S63" s="20">
        <f t="shared" si="97"/>
        <v>0</v>
      </c>
      <c r="T63" s="20">
        <f t="shared" si="97"/>
        <v>0</v>
      </c>
      <c r="U63" s="20">
        <f t="shared" si="97"/>
        <v>0</v>
      </c>
      <c r="V63" s="20">
        <f t="shared" si="97"/>
        <v>0</v>
      </c>
      <c r="W63" s="20">
        <f t="shared" si="97"/>
        <v>0</v>
      </c>
      <c r="X63" s="20">
        <f t="shared" si="97"/>
        <v>0</v>
      </c>
      <c r="Y63" s="20">
        <f t="shared" si="97"/>
        <v>0</v>
      </c>
      <c r="Z63" s="20">
        <f t="shared" si="97"/>
        <v>0</v>
      </c>
      <c r="AA63" s="20">
        <f t="shared" si="79"/>
        <v>0</v>
      </c>
      <c r="AB63" s="20">
        <f t="shared" ref="AB63:AL63" si="98">AA63</f>
        <v>0</v>
      </c>
      <c r="AC63" s="20">
        <f t="shared" si="98"/>
        <v>0</v>
      </c>
      <c r="AD63" s="20">
        <f t="shared" si="98"/>
        <v>0</v>
      </c>
      <c r="AE63" s="20">
        <f t="shared" si="98"/>
        <v>0</v>
      </c>
      <c r="AF63" s="20">
        <f t="shared" si="98"/>
        <v>0</v>
      </c>
      <c r="AG63" s="20">
        <f t="shared" si="98"/>
        <v>0</v>
      </c>
      <c r="AH63" s="20">
        <f t="shared" si="98"/>
        <v>0</v>
      </c>
      <c r="AI63" s="20">
        <f t="shared" si="98"/>
        <v>0</v>
      </c>
      <c r="AJ63" s="20">
        <f t="shared" si="98"/>
        <v>0</v>
      </c>
      <c r="AK63" s="20">
        <f t="shared" si="98"/>
        <v>0</v>
      </c>
      <c r="AL63" s="20">
        <f t="shared" si="98"/>
        <v>0</v>
      </c>
      <c r="AM63" s="20">
        <f t="shared" si="81"/>
        <v>0</v>
      </c>
      <c r="AN63" s="20">
        <f t="shared" ref="AN63:AX63" si="99">AM63</f>
        <v>0</v>
      </c>
      <c r="AO63" s="20">
        <f t="shared" si="99"/>
        <v>0</v>
      </c>
      <c r="AP63" s="20">
        <f t="shared" si="99"/>
        <v>0</v>
      </c>
      <c r="AQ63" s="20">
        <f t="shared" si="99"/>
        <v>0</v>
      </c>
      <c r="AR63" s="20">
        <f t="shared" si="99"/>
        <v>0</v>
      </c>
      <c r="AS63" s="20">
        <f t="shared" si="99"/>
        <v>0</v>
      </c>
      <c r="AT63" s="20">
        <f t="shared" si="99"/>
        <v>0</v>
      </c>
      <c r="AU63" s="20">
        <f t="shared" si="99"/>
        <v>0</v>
      </c>
      <c r="AV63" s="20">
        <f t="shared" si="99"/>
        <v>0</v>
      </c>
      <c r="AW63" s="20">
        <f t="shared" si="99"/>
        <v>0</v>
      </c>
      <c r="AX63" s="20">
        <f t="shared" si="99"/>
        <v>0</v>
      </c>
      <c r="AY63" s="20">
        <f t="shared" si="83"/>
        <v>0</v>
      </c>
      <c r="AZ63" s="20">
        <f t="shared" ref="AZ63:BJ63" si="100">AY63</f>
        <v>0</v>
      </c>
      <c r="BA63" s="20">
        <f t="shared" si="100"/>
        <v>0</v>
      </c>
      <c r="BB63" s="20">
        <f t="shared" si="100"/>
        <v>0</v>
      </c>
      <c r="BC63" s="20">
        <f t="shared" si="100"/>
        <v>0</v>
      </c>
      <c r="BD63" s="20">
        <f t="shared" si="100"/>
        <v>0</v>
      </c>
      <c r="BE63" s="20">
        <f t="shared" si="100"/>
        <v>0</v>
      </c>
      <c r="BF63" s="20">
        <f t="shared" si="100"/>
        <v>0</v>
      </c>
      <c r="BG63" s="20">
        <f t="shared" si="100"/>
        <v>0</v>
      </c>
      <c r="BH63" s="20">
        <f t="shared" si="100"/>
        <v>0</v>
      </c>
      <c r="BI63" s="20">
        <f t="shared" si="100"/>
        <v>0</v>
      </c>
      <c r="BJ63" s="20">
        <f t="shared" si="100"/>
        <v>0</v>
      </c>
      <c r="BK63" s="20">
        <f t="shared" si="85"/>
        <v>0</v>
      </c>
      <c r="BL63" s="20">
        <f t="shared" ref="BL63:BV63" si="101">BK63</f>
        <v>0</v>
      </c>
      <c r="BM63" s="20">
        <f t="shared" si="101"/>
        <v>0</v>
      </c>
      <c r="BN63" s="20">
        <f t="shared" si="101"/>
        <v>0</v>
      </c>
      <c r="BO63" s="20">
        <f t="shared" si="101"/>
        <v>0</v>
      </c>
      <c r="BP63" s="20">
        <f t="shared" si="101"/>
        <v>0</v>
      </c>
      <c r="BQ63" s="20">
        <f t="shared" si="101"/>
        <v>0</v>
      </c>
      <c r="BR63" s="20">
        <f t="shared" si="101"/>
        <v>0</v>
      </c>
      <c r="BS63" s="20">
        <f t="shared" si="101"/>
        <v>0</v>
      </c>
      <c r="BT63" s="20">
        <f t="shared" si="101"/>
        <v>0</v>
      </c>
      <c r="BU63" s="20">
        <f t="shared" si="101"/>
        <v>0</v>
      </c>
      <c r="BV63" s="20">
        <f t="shared" si="101"/>
        <v>0</v>
      </c>
    </row>
    <row r="64" spans="1:74" s="10" customFormat="1" hidden="1" outlineLevel="1">
      <c r="B64" s="62"/>
      <c r="C64" s="382"/>
      <c r="D64" s="382"/>
      <c r="E64" s="382"/>
      <c r="F64" s="382"/>
      <c r="G64" s="382"/>
      <c r="H64" s="28"/>
      <c r="I64" s="139"/>
      <c r="J64" s="384"/>
      <c r="K64" s="60"/>
      <c r="L64" s="60"/>
      <c r="M64" s="60"/>
      <c r="N64" s="60"/>
      <c r="O64" s="22">
        <f t="shared" si="77"/>
        <v>0</v>
      </c>
      <c r="P64" s="20">
        <f t="shared" ref="P64:Z64" si="102">O64</f>
        <v>0</v>
      </c>
      <c r="Q64" s="20">
        <f t="shared" si="102"/>
        <v>0</v>
      </c>
      <c r="R64" s="20">
        <f t="shared" si="102"/>
        <v>0</v>
      </c>
      <c r="S64" s="20">
        <f t="shared" si="102"/>
        <v>0</v>
      </c>
      <c r="T64" s="20">
        <f t="shared" si="102"/>
        <v>0</v>
      </c>
      <c r="U64" s="20">
        <f t="shared" si="102"/>
        <v>0</v>
      </c>
      <c r="V64" s="20">
        <f t="shared" si="102"/>
        <v>0</v>
      </c>
      <c r="W64" s="20">
        <f t="shared" si="102"/>
        <v>0</v>
      </c>
      <c r="X64" s="20">
        <f t="shared" si="102"/>
        <v>0</v>
      </c>
      <c r="Y64" s="20">
        <f t="shared" si="102"/>
        <v>0</v>
      </c>
      <c r="Z64" s="20">
        <f t="shared" si="102"/>
        <v>0</v>
      </c>
      <c r="AA64" s="20">
        <f t="shared" si="79"/>
        <v>0</v>
      </c>
      <c r="AB64" s="20">
        <f t="shared" ref="AB64:AL64" si="103">AA64</f>
        <v>0</v>
      </c>
      <c r="AC64" s="20">
        <f t="shared" si="103"/>
        <v>0</v>
      </c>
      <c r="AD64" s="20">
        <f t="shared" si="103"/>
        <v>0</v>
      </c>
      <c r="AE64" s="20">
        <f t="shared" si="103"/>
        <v>0</v>
      </c>
      <c r="AF64" s="20">
        <f t="shared" si="103"/>
        <v>0</v>
      </c>
      <c r="AG64" s="20">
        <f t="shared" si="103"/>
        <v>0</v>
      </c>
      <c r="AH64" s="20">
        <f t="shared" si="103"/>
        <v>0</v>
      </c>
      <c r="AI64" s="20">
        <f t="shared" si="103"/>
        <v>0</v>
      </c>
      <c r="AJ64" s="20">
        <f t="shared" si="103"/>
        <v>0</v>
      </c>
      <c r="AK64" s="20">
        <f t="shared" si="103"/>
        <v>0</v>
      </c>
      <c r="AL64" s="20">
        <f t="shared" si="103"/>
        <v>0</v>
      </c>
      <c r="AM64" s="20">
        <f t="shared" si="81"/>
        <v>0</v>
      </c>
      <c r="AN64" s="20">
        <f t="shared" ref="AN64:AX64" si="104">AM64</f>
        <v>0</v>
      </c>
      <c r="AO64" s="20">
        <f t="shared" si="104"/>
        <v>0</v>
      </c>
      <c r="AP64" s="20">
        <f t="shared" si="104"/>
        <v>0</v>
      </c>
      <c r="AQ64" s="20">
        <f t="shared" si="104"/>
        <v>0</v>
      </c>
      <c r="AR64" s="20">
        <f t="shared" si="104"/>
        <v>0</v>
      </c>
      <c r="AS64" s="20">
        <f t="shared" si="104"/>
        <v>0</v>
      </c>
      <c r="AT64" s="20">
        <f t="shared" si="104"/>
        <v>0</v>
      </c>
      <c r="AU64" s="20">
        <f t="shared" si="104"/>
        <v>0</v>
      </c>
      <c r="AV64" s="20">
        <f t="shared" si="104"/>
        <v>0</v>
      </c>
      <c r="AW64" s="20">
        <f t="shared" si="104"/>
        <v>0</v>
      </c>
      <c r="AX64" s="20">
        <f t="shared" si="104"/>
        <v>0</v>
      </c>
      <c r="AY64" s="20">
        <f t="shared" si="83"/>
        <v>0</v>
      </c>
      <c r="AZ64" s="20">
        <f t="shared" ref="AZ64:BJ64" si="105">AY64</f>
        <v>0</v>
      </c>
      <c r="BA64" s="20">
        <f t="shared" si="105"/>
        <v>0</v>
      </c>
      <c r="BB64" s="20">
        <f t="shared" si="105"/>
        <v>0</v>
      </c>
      <c r="BC64" s="20">
        <f t="shared" si="105"/>
        <v>0</v>
      </c>
      <c r="BD64" s="20">
        <f t="shared" si="105"/>
        <v>0</v>
      </c>
      <c r="BE64" s="20">
        <f t="shared" si="105"/>
        <v>0</v>
      </c>
      <c r="BF64" s="20">
        <f t="shared" si="105"/>
        <v>0</v>
      </c>
      <c r="BG64" s="20">
        <f t="shared" si="105"/>
        <v>0</v>
      </c>
      <c r="BH64" s="20">
        <f t="shared" si="105"/>
        <v>0</v>
      </c>
      <c r="BI64" s="20">
        <f t="shared" si="105"/>
        <v>0</v>
      </c>
      <c r="BJ64" s="20">
        <f t="shared" si="105"/>
        <v>0</v>
      </c>
      <c r="BK64" s="20">
        <f t="shared" si="85"/>
        <v>0</v>
      </c>
      <c r="BL64" s="20">
        <f t="shared" ref="BL64:BV64" si="106">BK64</f>
        <v>0</v>
      </c>
      <c r="BM64" s="20">
        <f t="shared" si="106"/>
        <v>0</v>
      </c>
      <c r="BN64" s="20">
        <f t="shared" si="106"/>
        <v>0</v>
      </c>
      <c r="BO64" s="20">
        <f t="shared" si="106"/>
        <v>0</v>
      </c>
      <c r="BP64" s="20">
        <f t="shared" si="106"/>
        <v>0</v>
      </c>
      <c r="BQ64" s="20">
        <f t="shared" si="106"/>
        <v>0</v>
      </c>
      <c r="BR64" s="20">
        <f t="shared" si="106"/>
        <v>0</v>
      </c>
      <c r="BS64" s="20">
        <f t="shared" si="106"/>
        <v>0</v>
      </c>
      <c r="BT64" s="20">
        <f t="shared" si="106"/>
        <v>0</v>
      </c>
      <c r="BU64" s="20">
        <f t="shared" si="106"/>
        <v>0</v>
      </c>
      <c r="BV64" s="20">
        <f t="shared" si="106"/>
        <v>0</v>
      </c>
    </row>
    <row r="65" spans="2:74" hidden="1" collapsed="1">
      <c r="B65" s="358"/>
      <c r="C65" s="27"/>
      <c r="D65" s="327"/>
      <c r="E65" s="327"/>
      <c r="F65" s="327"/>
      <c r="G65" s="383"/>
      <c r="I65" s="178"/>
      <c r="J65" s="384"/>
      <c r="K65" s="60"/>
      <c r="L65" s="60"/>
      <c r="M65" s="60"/>
      <c r="N65" s="60"/>
      <c r="O65" s="22">
        <f t="shared" si="77"/>
        <v>0</v>
      </c>
      <c r="P65" s="20">
        <f t="shared" ref="P65:Z65" si="107">O65</f>
        <v>0</v>
      </c>
      <c r="Q65" s="20">
        <f t="shared" si="107"/>
        <v>0</v>
      </c>
      <c r="R65" s="20">
        <f t="shared" si="107"/>
        <v>0</v>
      </c>
      <c r="S65" s="20">
        <f t="shared" si="107"/>
        <v>0</v>
      </c>
      <c r="T65" s="20">
        <f t="shared" si="107"/>
        <v>0</v>
      </c>
      <c r="U65" s="20">
        <f t="shared" si="107"/>
        <v>0</v>
      </c>
      <c r="V65" s="20">
        <f t="shared" si="107"/>
        <v>0</v>
      </c>
      <c r="W65" s="20">
        <f t="shared" si="107"/>
        <v>0</v>
      </c>
      <c r="X65" s="20">
        <f t="shared" si="107"/>
        <v>0</v>
      </c>
      <c r="Y65" s="20">
        <f t="shared" si="107"/>
        <v>0</v>
      </c>
      <c r="Z65" s="20">
        <f t="shared" si="107"/>
        <v>0</v>
      </c>
      <c r="AA65" s="20">
        <f t="shared" si="79"/>
        <v>0</v>
      </c>
      <c r="AB65" s="20">
        <f t="shared" ref="AB65:AL65" si="108">AA65</f>
        <v>0</v>
      </c>
      <c r="AC65" s="20">
        <f t="shared" si="108"/>
        <v>0</v>
      </c>
      <c r="AD65" s="20">
        <f t="shared" si="108"/>
        <v>0</v>
      </c>
      <c r="AE65" s="20">
        <f t="shared" si="108"/>
        <v>0</v>
      </c>
      <c r="AF65" s="20">
        <f t="shared" si="108"/>
        <v>0</v>
      </c>
      <c r="AG65" s="20">
        <f t="shared" si="108"/>
        <v>0</v>
      </c>
      <c r="AH65" s="20">
        <f t="shared" si="108"/>
        <v>0</v>
      </c>
      <c r="AI65" s="20">
        <f t="shared" si="108"/>
        <v>0</v>
      </c>
      <c r="AJ65" s="20">
        <f t="shared" si="108"/>
        <v>0</v>
      </c>
      <c r="AK65" s="20">
        <f t="shared" si="108"/>
        <v>0</v>
      </c>
      <c r="AL65" s="20">
        <f t="shared" si="108"/>
        <v>0</v>
      </c>
      <c r="AM65" s="20">
        <f t="shared" si="81"/>
        <v>0</v>
      </c>
      <c r="AN65" s="20">
        <f t="shared" ref="AN65:AX65" si="109">AM65</f>
        <v>0</v>
      </c>
      <c r="AO65" s="20">
        <f t="shared" si="109"/>
        <v>0</v>
      </c>
      <c r="AP65" s="20">
        <f t="shared" si="109"/>
        <v>0</v>
      </c>
      <c r="AQ65" s="20">
        <f t="shared" si="109"/>
        <v>0</v>
      </c>
      <c r="AR65" s="20">
        <f t="shared" si="109"/>
        <v>0</v>
      </c>
      <c r="AS65" s="20">
        <f t="shared" si="109"/>
        <v>0</v>
      </c>
      <c r="AT65" s="20">
        <f t="shared" si="109"/>
        <v>0</v>
      </c>
      <c r="AU65" s="20">
        <f t="shared" si="109"/>
        <v>0</v>
      </c>
      <c r="AV65" s="20">
        <f t="shared" si="109"/>
        <v>0</v>
      </c>
      <c r="AW65" s="20">
        <f t="shared" si="109"/>
        <v>0</v>
      </c>
      <c r="AX65" s="20">
        <f t="shared" si="109"/>
        <v>0</v>
      </c>
      <c r="AY65" s="20">
        <f t="shared" si="83"/>
        <v>0</v>
      </c>
      <c r="AZ65" s="20">
        <f t="shared" ref="AZ65:BJ65" si="110">AY65</f>
        <v>0</v>
      </c>
      <c r="BA65" s="20">
        <f t="shared" si="110"/>
        <v>0</v>
      </c>
      <c r="BB65" s="20">
        <f t="shared" si="110"/>
        <v>0</v>
      </c>
      <c r="BC65" s="20">
        <f t="shared" si="110"/>
        <v>0</v>
      </c>
      <c r="BD65" s="20">
        <f t="shared" si="110"/>
        <v>0</v>
      </c>
      <c r="BE65" s="20">
        <f t="shared" si="110"/>
        <v>0</v>
      </c>
      <c r="BF65" s="20">
        <f t="shared" si="110"/>
        <v>0</v>
      </c>
      <c r="BG65" s="20">
        <f t="shared" si="110"/>
        <v>0</v>
      </c>
      <c r="BH65" s="20">
        <f t="shared" si="110"/>
        <v>0</v>
      </c>
      <c r="BI65" s="20">
        <f t="shared" si="110"/>
        <v>0</v>
      </c>
      <c r="BJ65" s="20">
        <f t="shared" si="110"/>
        <v>0</v>
      </c>
      <c r="BK65" s="20">
        <f t="shared" si="85"/>
        <v>0</v>
      </c>
      <c r="BL65" s="20">
        <f t="shared" ref="BL65:BV65" si="111">BK65</f>
        <v>0</v>
      </c>
      <c r="BM65" s="20">
        <f t="shared" si="111"/>
        <v>0</v>
      </c>
      <c r="BN65" s="20">
        <f t="shared" si="111"/>
        <v>0</v>
      </c>
      <c r="BO65" s="20">
        <f t="shared" si="111"/>
        <v>0</v>
      </c>
      <c r="BP65" s="20">
        <f t="shared" si="111"/>
        <v>0</v>
      </c>
      <c r="BQ65" s="20">
        <f t="shared" si="111"/>
        <v>0</v>
      </c>
      <c r="BR65" s="20">
        <f t="shared" si="111"/>
        <v>0</v>
      </c>
      <c r="BS65" s="20">
        <f t="shared" si="111"/>
        <v>0</v>
      </c>
      <c r="BT65" s="20">
        <f t="shared" si="111"/>
        <v>0</v>
      </c>
      <c r="BU65" s="20">
        <f t="shared" si="111"/>
        <v>0</v>
      </c>
      <c r="BV65" s="20">
        <f t="shared" si="111"/>
        <v>0</v>
      </c>
    </row>
    <row r="66" spans="2:74" hidden="1">
      <c r="B66" s="358"/>
      <c r="C66" s="27"/>
      <c r="D66" s="327"/>
      <c r="E66" s="327"/>
      <c r="F66" s="327"/>
      <c r="G66" s="383"/>
      <c r="I66" s="32"/>
      <c r="J66" s="32"/>
      <c r="K66" s="32"/>
      <c r="L66" s="32"/>
      <c r="M66" s="32"/>
      <c r="N66" s="32"/>
      <c r="O66" s="54">
        <f>SUM(O60:O65)</f>
        <v>0</v>
      </c>
      <c r="P66" s="54">
        <f t="shared" ref="P66:BV66" si="112">SUM(P60:P65)</f>
        <v>0</v>
      </c>
      <c r="Q66" s="54">
        <f t="shared" si="112"/>
        <v>0</v>
      </c>
      <c r="R66" s="54">
        <f t="shared" si="112"/>
        <v>0</v>
      </c>
      <c r="S66" s="54">
        <f t="shared" si="112"/>
        <v>0</v>
      </c>
      <c r="T66" s="54">
        <f t="shared" si="112"/>
        <v>0</v>
      </c>
      <c r="U66" s="54">
        <f t="shared" si="112"/>
        <v>0</v>
      </c>
      <c r="V66" s="54">
        <f t="shared" si="112"/>
        <v>0</v>
      </c>
      <c r="W66" s="54">
        <f t="shared" si="112"/>
        <v>0</v>
      </c>
      <c r="X66" s="54">
        <f t="shared" si="112"/>
        <v>0</v>
      </c>
      <c r="Y66" s="54">
        <f t="shared" si="112"/>
        <v>0</v>
      </c>
      <c r="Z66" s="54">
        <f t="shared" si="112"/>
        <v>0</v>
      </c>
      <c r="AA66" s="54">
        <f t="shared" si="112"/>
        <v>0</v>
      </c>
      <c r="AB66" s="54">
        <f t="shared" si="112"/>
        <v>0</v>
      </c>
      <c r="AC66" s="54">
        <f t="shared" si="112"/>
        <v>0</v>
      </c>
      <c r="AD66" s="54">
        <f t="shared" si="112"/>
        <v>0</v>
      </c>
      <c r="AE66" s="54">
        <f t="shared" si="112"/>
        <v>0</v>
      </c>
      <c r="AF66" s="54">
        <f t="shared" si="112"/>
        <v>0</v>
      </c>
      <c r="AG66" s="54">
        <f t="shared" si="112"/>
        <v>0</v>
      </c>
      <c r="AH66" s="54">
        <f t="shared" si="112"/>
        <v>0</v>
      </c>
      <c r="AI66" s="54">
        <f t="shared" si="112"/>
        <v>0</v>
      </c>
      <c r="AJ66" s="54">
        <f t="shared" si="112"/>
        <v>0</v>
      </c>
      <c r="AK66" s="54">
        <f t="shared" si="112"/>
        <v>0</v>
      </c>
      <c r="AL66" s="54">
        <f t="shared" si="112"/>
        <v>0</v>
      </c>
      <c r="AM66" s="54">
        <f t="shared" si="112"/>
        <v>0</v>
      </c>
      <c r="AN66" s="54">
        <f t="shared" si="112"/>
        <v>0</v>
      </c>
      <c r="AO66" s="54">
        <f t="shared" si="112"/>
        <v>0</v>
      </c>
      <c r="AP66" s="54">
        <f t="shared" si="112"/>
        <v>0</v>
      </c>
      <c r="AQ66" s="54">
        <f t="shared" si="112"/>
        <v>0</v>
      </c>
      <c r="AR66" s="54">
        <f t="shared" si="112"/>
        <v>0</v>
      </c>
      <c r="AS66" s="54">
        <f t="shared" si="112"/>
        <v>0</v>
      </c>
      <c r="AT66" s="54">
        <f t="shared" si="112"/>
        <v>0</v>
      </c>
      <c r="AU66" s="54">
        <f t="shared" si="112"/>
        <v>0</v>
      </c>
      <c r="AV66" s="54">
        <f t="shared" si="112"/>
        <v>0</v>
      </c>
      <c r="AW66" s="54">
        <f t="shared" si="112"/>
        <v>0</v>
      </c>
      <c r="AX66" s="54">
        <f t="shared" si="112"/>
        <v>0</v>
      </c>
      <c r="AY66" s="54">
        <f t="shared" si="112"/>
        <v>0</v>
      </c>
      <c r="AZ66" s="54">
        <f t="shared" si="112"/>
        <v>0</v>
      </c>
      <c r="BA66" s="54">
        <f t="shared" si="112"/>
        <v>0</v>
      </c>
      <c r="BB66" s="54">
        <f t="shared" si="112"/>
        <v>0</v>
      </c>
      <c r="BC66" s="54">
        <f t="shared" si="112"/>
        <v>0</v>
      </c>
      <c r="BD66" s="54">
        <f t="shared" si="112"/>
        <v>0</v>
      </c>
      <c r="BE66" s="54">
        <f t="shared" si="112"/>
        <v>0</v>
      </c>
      <c r="BF66" s="54">
        <f t="shared" si="112"/>
        <v>0</v>
      </c>
      <c r="BG66" s="54">
        <f t="shared" si="112"/>
        <v>0</v>
      </c>
      <c r="BH66" s="54">
        <f t="shared" si="112"/>
        <v>0</v>
      </c>
      <c r="BI66" s="54">
        <f t="shared" si="112"/>
        <v>0</v>
      </c>
      <c r="BJ66" s="54">
        <f t="shared" si="112"/>
        <v>0</v>
      </c>
      <c r="BK66" s="54">
        <f t="shared" si="112"/>
        <v>0</v>
      </c>
      <c r="BL66" s="54">
        <f t="shared" si="112"/>
        <v>0</v>
      </c>
      <c r="BM66" s="54">
        <f t="shared" si="112"/>
        <v>0</v>
      </c>
      <c r="BN66" s="54">
        <f t="shared" si="112"/>
        <v>0</v>
      </c>
      <c r="BO66" s="54">
        <f t="shared" si="112"/>
        <v>0</v>
      </c>
      <c r="BP66" s="54">
        <f t="shared" si="112"/>
        <v>0</v>
      </c>
      <c r="BQ66" s="54">
        <f t="shared" si="112"/>
        <v>0</v>
      </c>
      <c r="BR66" s="54">
        <f t="shared" si="112"/>
        <v>0</v>
      </c>
      <c r="BS66" s="54">
        <f t="shared" si="112"/>
        <v>0</v>
      </c>
      <c r="BT66" s="54">
        <f t="shared" si="112"/>
        <v>0</v>
      </c>
      <c r="BU66" s="54">
        <f t="shared" si="112"/>
        <v>0</v>
      </c>
      <c r="BV66" s="54">
        <f t="shared" si="112"/>
        <v>0</v>
      </c>
    </row>
    <row r="67" spans="2:74">
      <c r="B67" s="358"/>
      <c r="C67" s="27"/>
      <c r="D67" s="327"/>
      <c r="E67" s="327"/>
      <c r="F67" s="327"/>
      <c r="G67" s="383"/>
    </row>
    <row r="68" spans="2:74">
      <c r="B68" s="358"/>
      <c r="C68" s="27"/>
      <c r="D68" s="327"/>
      <c r="E68" s="327"/>
      <c r="F68" s="327"/>
      <c r="G68" s="383"/>
    </row>
    <row r="69" spans="2:74">
      <c r="B69" s="358"/>
      <c r="C69" s="27"/>
      <c r="D69" s="327"/>
      <c r="E69" s="327"/>
      <c r="F69" s="327"/>
      <c r="G69" s="383"/>
    </row>
    <row r="70" spans="2:74">
      <c r="B70" s="10"/>
      <c r="C70" s="10"/>
      <c r="D70" s="10"/>
      <c r="E70" s="10"/>
      <c r="F70" s="10"/>
      <c r="G70" s="10"/>
    </row>
    <row r="74" spans="2:74"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</row>
    <row r="75" spans="2:74"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</row>
    <row r="76" spans="2:74"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</row>
    <row r="77" spans="2:74"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</row>
    <row r="78" spans="2:74"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</row>
    <row r="79" spans="2:74"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</row>
    <row r="80" spans="2:74"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</row>
    <row r="81" spans="8:67"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</row>
    <row r="82" spans="8:67"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</row>
    <row r="83" spans="8:67"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</row>
    <row r="84" spans="8:67"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</row>
    <row r="85" spans="8:67"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</row>
    <row r="86" spans="8:67"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</row>
    <row r="87" spans="8:67"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</row>
    <row r="88" spans="8:67"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</row>
    <row r="89" spans="8:67"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</row>
    <row r="90" spans="8:67"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</row>
    <row r="91" spans="8:67"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</row>
    <row r="92" spans="8:67"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</row>
    <row r="93" spans="8:67"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</row>
    <row r="94" spans="8:67"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</row>
    <row r="95" spans="8:67"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</row>
    <row r="96" spans="8:67"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</row>
    <row r="97" spans="8:67"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</row>
    <row r="98" spans="8:67"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</row>
    <row r="99" spans="8:67"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</row>
    <row r="100" spans="8:67"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</row>
    <row r="101" spans="8:67"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</row>
    <row r="102" spans="8:67"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</row>
    <row r="103" spans="8:67"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</row>
    <row r="104" spans="8:67"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</row>
    <row r="105" spans="8:67"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</row>
    <row r="106" spans="8:67"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</row>
    <row r="107" spans="8:67"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</row>
    <row r="108" spans="8:67"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</row>
    <row r="109" spans="8:67"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</row>
    <row r="110" spans="8:67"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</row>
    <row r="111" spans="8:67"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</row>
    <row r="112" spans="8:67"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</row>
    <row r="113" spans="8:67"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</row>
    <row r="114" spans="8:67"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</row>
    <row r="115" spans="8:67"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</row>
    <row r="116" spans="8:67"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</row>
    <row r="117" spans="8:67"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</row>
    <row r="118" spans="8:67"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</row>
    <row r="119" spans="8:67"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</row>
    <row r="120" spans="8:67"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</row>
    <row r="121" spans="8:67"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</row>
    <row r="122" spans="8:67"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</row>
    <row r="123" spans="8:67"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</row>
    <row r="124" spans="8:67"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</row>
    <row r="125" spans="8:67"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</row>
    <row r="126" spans="8:67"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</row>
    <row r="127" spans="8:67"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</row>
    <row r="128" spans="8:67"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</row>
    <row r="129" spans="8:67"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</row>
    <row r="130" spans="8:67"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</row>
    <row r="131" spans="8:67"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</row>
    <row r="132" spans="8:67"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</row>
    <row r="133" spans="8:67"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</row>
    <row r="134" spans="8:67"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</row>
    <row r="135" spans="8:67"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</row>
    <row r="136" spans="8:67"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</row>
    <row r="137" spans="8:67"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</row>
    <row r="138" spans="8:67"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</row>
    <row r="139" spans="8:67"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</row>
    <row r="140" spans="8:67"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</row>
    <row r="141" spans="8:67"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</row>
    <row r="142" spans="8:67"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</row>
    <row r="143" spans="8:67"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</row>
    <row r="144" spans="8:67"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</row>
    <row r="145" spans="8:67"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</row>
    <row r="146" spans="8:67"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</row>
    <row r="147" spans="8:67"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</row>
    <row r="148" spans="8:67"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</row>
    <row r="149" spans="8:67"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</row>
    <row r="150" spans="8:67"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</row>
    <row r="151" spans="8:67"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</row>
    <row r="152" spans="8:67"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</row>
    <row r="153" spans="8:67"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</row>
    <row r="154" spans="8:67"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</row>
    <row r="155" spans="8:67"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</row>
    <row r="156" spans="8:67"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</row>
    <row r="157" spans="8:67"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</row>
    <row r="158" spans="8:67"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</row>
    <row r="159" spans="8:67"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</row>
    <row r="160" spans="8:67"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</row>
  </sheetData>
  <mergeCells count="19">
    <mergeCell ref="AM58:AX58"/>
    <mergeCell ref="AY58:BJ58"/>
    <mergeCell ref="BK58:BV58"/>
    <mergeCell ref="AM3:AX3"/>
    <mergeCell ref="AY3:BJ3"/>
    <mergeCell ref="BK3:BV3"/>
    <mergeCell ref="AM23:AX23"/>
    <mergeCell ref="AY23:BJ23"/>
    <mergeCell ref="BK23:BV23"/>
    <mergeCell ref="K3:N3"/>
    <mergeCell ref="J23:N23"/>
    <mergeCell ref="J34:N34"/>
    <mergeCell ref="K58:N58"/>
    <mergeCell ref="AA23:AL23"/>
    <mergeCell ref="AA3:AL3"/>
    <mergeCell ref="O58:Z58"/>
    <mergeCell ref="AA58:AL58"/>
    <mergeCell ref="O3:Z3"/>
    <mergeCell ref="O23:Z23"/>
  </mergeCells>
  <phoneticPr fontId="5" type="noConversion"/>
  <pageMargins left="0.25" right="0.25" top="0.75" bottom="0.75" header="0.3" footer="0.3"/>
  <pageSetup orientation="landscape" horizontalDpi="429496729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BM33"/>
  <sheetViews>
    <sheetView showGridLines="0" zoomScaleNormal="100" zoomScalePageLayoutView="110" workbookViewId="0"/>
  </sheetViews>
  <sheetFormatPr baseColWidth="10" defaultColWidth="9.1640625" defaultRowHeight="14"/>
  <cols>
    <col min="1" max="1" width="32.1640625" style="6" customWidth="1"/>
    <col min="2" max="2" width="15" style="6" customWidth="1"/>
    <col min="3" max="3" width="16.5" style="6" bestFit="1" customWidth="1"/>
    <col min="4" max="4" width="3.6640625" style="6" customWidth="1"/>
    <col min="5" max="64" width="13.33203125" style="6" customWidth="1"/>
    <col min="65" max="65" width="10" style="6" customWidth="1"/>
    <col min="66" max="16384" width="9.1640625" style="6"/>
  </cols>
  <sheetData>
    <row r="1" spans="1:65" s="144" customFormat="1" ht="20">
      <c r="A1" s="125" t="s">
        <v>144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371"/>
      <c r="BL1" s="371"/>
      <c r="BM1" s="371"/>
    </row>
    <row r="2" spans="1:65" s="10" customFormat="1"/>
    <row r="3" spans="1:65" s="10" customFormat="1">
      <c r="A3" s="535" t="s">
        <v>14</v>
      </c>
      <c r="B3" s="535"/>
      <c r="C3" s="535"/>
      <c r="D3" s="169"/>
      <c r="E3" s="133"/>
      <c r="F3" s="537">
        <f>'2) Assumptions'!$D$2</f>
        <v>45261</v>
      </c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7">
        <f>'2) Assumptions'!$E$2</f>
        <v>45627</v>
      </c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7">
        <f>'2) Assumptions'!$F$2</f>
        <v>45992</v>
      </c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7">
        <f>'2) Assumptions'!$G$2</f>
        <v>46357</v>
      </c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7">
        <f>'2) Assumptions'!$H$2</f>
        <v>46722</v>
      </c>
      <c r="BC3" s="538"/>
      <c r="BD3" s="538"/>
      <c r="BE3" s="538"/>
      <c r="BF3" s="538"/>
      <c r="BG3" s="538"/>
      <c r="BH3" s="538"/>
      <c r="BI3" s="538"/>
      <c r="BJ3" s="538"/>
      <c r="BK3" s="538"/>
      <c r="BL3" s="538"/>
      <c r="BM3" s="538"/>
    </row>
    <row r="4" spans="1:65" s="10" customFormat="1">
      <c r="A4" s="535" t="s">
        <v>180</v>
      </c>
      <c r="B4" s="535"/>
      <c r="C4" s="535"/>
      <c r="D4" s="169"/>
      <c r="E4" s="134"/>
      <c r="F4" s="135">
        <f>EDATE('2) Assumptions'!$D$5,0)</f>
        <v>44927</v>
      </c>
      <c r="G4" s="135">
        <f>EDATE('2) Assumptions'!$D$5,1)</f>
        <v>44958</v>
      </c>
      <c r="H4" s="135">
        <f>EDATE('2) Assumptions'!$D$5,2)</f>
        <v>44986</v>
      </c>
      <c r="I4" s="135">
        <f>EDATE('2) Assumptions'!$D$5,3)</f>
        <v>45017</v>
      </c>
      <c r="J4" s="135">
        <f>EDATE('2) Assumptions'!$D$5,4)</f>
        <v>45047</v>
      </c>
      <c r="K4" s="135">
        <f>EDATE('2) Assumptions'!$D$5,5)</f>
        <v>45078</v>
      </c>
      <c r="L4" s="135">
        <f>EDATE('2) Assumptions'!$D$5,6)</f>
        <v>45108</v>
      </c>
      <c r="M4" s="135">
        <f>EDATE('2) Assumptions'!$D$5,7)</f>
        <v>45139</v>
      </c>
      <c r="N4" s="135">
        <f>EDATE('2) Assumptions'!$D$5,8)</f>
        <v>45170</v>
      </c>
      <c r="O4" s="135">
        <f>EDATE('2) Assumptions'!$D$5,9)</f>
        <v>45200</v>
      </c>
      <c r="P4" s="135">
        <f>EDATE('2) Assumptions'!$D$5,10)</f>
        <v>45231</v>
      </c>
      <c r="Q4" s="135">
        <f>EDATE('2) Assumptions'!$D$5,11)</f>
        <v>45261</v>
      </c>
      <c r="R4" s="135">
        <f t="shared" ref="R4:AC4" si="0">F4</f>
        <v>44927</v>
      </c>
      <c r="S4" s="135">
        <f t="shared" si="0"/>
        <v>44958</v>
      </c>
      <c r="T4" s="135">
        <f t="shared" si="0"/>
        <v>44986</v>
      </c>
      <c r="U4" s="135">
        <f t="shared" si="0"/>
        <v>45017</v>
      </c>
      <c r="V4" s="135">
        <f t="shared" si="0"/>
        <v>45047</v>
      </c>
      <c r="W4" s="135">
        <f t="shared" si="0"/>
        <v>45078</v>
      </c>
      <c r="X4" s="135">
        <f t="shared" si="0"/>
        <v>45108</v>
      </c>
      <c r="Y4" s="135">
        <f t="shared" si="0"/>
        <v>45139</v>
      </c>
      <c r="Z4" s="135">
        <f t="shared" si="0"/>
        <v>45170</v>
      </c>
      <c r="AA4" s="135">
        <f t="shared" si="0"/>
        <v>45200</v>
      </c>
      <c r="AB4" s="135">
        <f t="shared" si="0"/>
        <v>45231</v>
      </c>
      <c r="AC4" s="135">
        <f t="shared" si="0"/>
        <v>45261</v>
      </c>
      <c r="AD4" s="135">
        <f>EDATE('2) Assumptions'!$D$5,0)</f>
        <v>44927</v>
      </c>
      <c r="AE4" s="135">
        <f>EDATE('2) Assumptions'!$D$5,1)</f>
        <v>44958</v>
      </c>
      <c r="AF4" s="135">
        <f>EDATE('2) Assumptions'!$D$5,2)</f>
        <v>44986</v>
      </c>
      <c r="AG4" s="135">
        <f>EDATE('2) Assumptions'!$D$5,3)</f>
        <v>45017</v>
      </c>
      <c r="AH4" s="135">
        <f>EDATE('2) Assumptions'!$D$5,4)</f>
        <v>45047</v>
      </c>
      <c r="AI4" s="135">
        <f>EDATE('2) Assumptions'!$D$5,5)</f>
        <v>45078</v>
      </c>
      <c r="AJ4" s="135">
        <f>EDATE('2) Assumptions'!$D$5,6)</f>
        <v>45108</v>
      </c>
      <c r="AK4" s="135">
        <f>EDATE('2) Assumptions'!$D$5,7)</f>
        <v>45139</v>
      </c>
      <c r="AL4" s="135">
        <f>EDATE('2) Assumptions'!$D$5,8)</f>
        <v>45170</v>
      </c>
      <c r="AM4" s="135">
        <f>EDATE('2) Assumptions'!$D$5,9)</f>
        <v>45200</v>
      </c>
      <c r="AN4" s="135">
        <f>EDATE('2) Assumptions'!$D$5,10)</f>
        <v>45231</v>
      </c>
      <c r="AO4" s="135">
        <f>EDATE('2) Assumptions'!$D$5,11)</f>
        <v>45261</v>
      </c>
      <c r="AP4" s="135">
        <f t="shared" ref="AP4:BA4" si="1">AD4</f>
        <v>44927</v>
      </c>
      <c r="AQ4" s="135">
        <f t="shared" si="1"/>
        <v>44958</v>
      </c>
      <c r="AR4" s="135">
        <f t="shared" si="1"/>
        <v>44986</v>
      </c>
      <c r="AS4" s="135">
        <f t="shared" si="1"/>
        <v>45017</v>
      </c>
      <c r="AT4" s="135">
        <f t="shared" si="1"/>
        <v>45047</v>
      </c>
      <c r="AU4" s="135">
        <f t="shared" si="1"/>
        <v>45078</v>
      </c>
      <c r="AV4" s="135">
        <f t="shared" si="1"/>
        <v>45108</v>
      </c>
      <c r="AW4" s="135">
        <f t="shared" si="1"/>
        <v>45139</v>
      </c>
      <c r="AX4" s="135">
        <f t="shared" si="1"/>
        <v>45170</v>
      </c>
      <c r="AY4" s="135">
        <f t="shared" si="1"/>
        <v>45200</v>
      </c>
      <c r="AZ4" s="135">
        <f t="shared" si="1"/>
        <v>45231</v>
      </c>
      <c r="BA4" s="135">
        <f t="shared" si="1"/>
        <v>45261</v>
      </c>
      <c r="BB4" s="135">
        <f>EDATE('2) Assumptions'!$D$5,0)</f>
        <v>44927</v>
      </c>
      <c r="BC4" s="135">
        <f>EDATE('2) Assumptions'!$D$5,1)</f>
        <v>44958</v>
      </c>
      <c r="BD4" s="135">
        <f>EDATE('2) Assumptions'!$D$5,2)</f>
        <v>44986</v>
      </c>
      <c r="BE4" s="135">
        <f>EDATE('2) Assumptions'!$D$5,3)</f>
        <v>45017</v>
      </c>
      <c r="BF4" s="135">
        <f>EDATE('2) Assumptions'!$D$5,4)</f>
        <v>45047</v>
      </c>
      <c r="BG4" s="135">
        <f>EDATE('2) Assumptions'!$D$5,5)</f>
        <v>45078</v>
      </c>
      <c r="BH4" s="135">
        <f>EDATE('2) Assumptions'!$D$5,6)</f>
        <v>45108</v>
      </c>
      <c r="BI4" s="135">
        <f>EDATE('2) Assumptions'!$D$5,7)</f>
        <v>45139</v>
      </c>
      <c r="BJ4" s="135">
        <f>EDATE('2) Assumptions'!$D$5,8)</f>
        <v>45170</v>
      </c>
      <c r="BK4" s="135">
        <f>EDATE('2) Assumptions'!$D$5,9)</f>
        <v>45200</v>
      </c>
      <c r="BL4" s="135">
        <f>EDATE('2) Assumptions'!$D$5,10)</f>
        <v>45231</v>
      </c>
      <c r="BM4" s="135">
        <f>EDATE('2) Assumptions'!$D$5,11)</f>
        <v>45261</v>
      </c>
    </row>
    <row r="5" spans="1:65" s="10" customFormat="1">
      <c r="A5" s="109" t="s">
        <v>26</v>
      </c>
      <c r="B5" s="106"/>
      <c r="C5" s="391" t="s">
        <v>184</v>
      </c>
      <c r="E5" s="16" t="s">
        <v>13</v>
      </c>
      <c r="F5" s="20">
        <f>C6+'8) Opening Balance Sheet'!C12</f>
        <v>25000000</v>
      </c>
      <c r="G5" s="20">
        <f>F5+F6</f>
        <v>25000000</v>
      </c>
      <c r="H5" s="20">
        <f t="shared" ref="H5:BM5" si="2">G5+G6</f>
        <v>25000000</v>
      </c>
      <c r="I5" s="20">
        <f t="shared" si="2"/>
        <v>25000000</v>
      </c>
      <c r="J5" s="20">
        <f t="shared" si="2"/>
        <v>25000000</v>
      </c>
      <c r="K5" s="20">
        <f t="shared" si="2"/>
        <v>25000000</v>
      </c>
      <c r="L5" s="20">
        <f t="shared" si="2"/>
        <v>25000000</v>
      </c>
      <c r="M5" s="20">
        <f t="shared" si="2"/>
        <v>25000000</v>
      </c>
      <c r="N5" s="20">
        <f t="shared" si="2"/>
        <v>25000000</v>
      </c>
      <c r="O5" s="20">
        <f t="shared" si="2"/>
        <v>25000000</v>
      </c>
      <c r="P5" s="20">
        <f t="shared" si="2"/>
        <v>25000000</v>
      </c>
      <c r="Q5" s="20">
        <f t="shared" si="2"/>
        <v>25000000</v>
      </c>
      <c r="R5" s="20">
        <f t="shared" si="2"/>
        <v>25000000</v>
      </c>
      <c r="S5" s="20">
        <f t="shared" si="2"/>
        <v>25000000</v>
      </c>
      <c r="T5" s="20">
        <f t="shared" si="2"/>
        <v>25000000</v>
      </c>
      <c r="U5" s="20">
        <f t="shared" si="2"/>
        <v>25000000</v>
      </c>
      <c r="V5" s="20">
        <f t="shared" si="2"/>
        <v>25000000</v>
      </c>
      <c r="W5" s="20">
        <f t="shared" si="2"/>
        <v>25000000</v>
      </c>
      <c r="X5" s="20">
        <f t="shared" si="2"/>
        <v>25000000</v>
      </c>
      <c r="Y5" s="20">
        <f t="shared" si="2"/>
        <v>25000000</v>
      </c>
      <c r="Z5" s="20">
        <f t="shared" si="2"/>
        <v>25000000</v>
      </c>
      <c r="AA5" s="20">
        <f t="shared" si="2"/>
        <v>25000000</v>
      </c>
      <c r="AB5" s="20">
        <f t="shared" si="2"/>
        <v>25000000</v>
      </c>
      <c r="AC5" s="20">
        <f t="shared" si="2"/>
        <v>25000000</v>
      </c>
      <c r="AD5" s="20">
        <f t="shared" si="2"/>
        <v>25000000</v>
      </c>
      <c r="AE5" s="20">
        <f t="shared" si="2"/>
        <v>25000000</v>
      </c>
      <c r="AF5" s="20">
        <f t="shared" si="2"/>
        <v>25000000</v>
      </c>
      <c r="AG5" s="20">
        <f t="shared" si="2"/>
        <v>25000000</v>
      </c>
      <c r="AH5" s="20">
        <f t="shared" si="2"/>
        <v>25000000</v>
      </c>
      <c r="AI5" s="20">
        <f t="shared" si="2"/>
        <v>25000000</v>
      </c>
      <c r="AJ5" s="20">
        <f t="shared" si="2"/>
        <v>25000000</v>
      </c>
      <c r="AK5" s="20">
        <f t="shared" si="2"/>
        <v>25000000</v>
      </c>
      <c r="AL5" s="20">
        <f t="shared" si="2"/>
        <v>25000000</v>
      </c>
      <c r="AM5" s="20">
        <f t="shared" si="2"/>
        <v>25000000</v>
      </c>
      <c r="AN5" s="20">
        <f t="shared" si="2"/>
        <v>25000000</v>
      </c>
      <c r="AO5" s="20">
        <f t="shared" si="2"/>
        <v>25000000</v>
      </c>
      <c r="AP5" s="20">
        <f t="shared" si="2"/>
        <v>25000000</v>
      </c>
      <c r="AQ5" s="20">
        <f t="shared" si="2"/>
        <v>25000000</v>
      </c>
      <c r="AR5" s="20">
        <f t="shared" si="2"/>
        <v>25000000</v>
      </c>
      <c r="AS5" s="20">
        <f t="shared" si="2"/>
        <v>25000000</v>
      </c>
      <c r="AT5" s="20">
        <f t="shared" si="2"/>
        <v>25000000</v>
      </c>
      <c r="AU5" s="20">
        <f t="shared" si="2"/>
        <v>25000000</v>
      </c>
      <c r="AV5" s="20">
        <f t="shared" si="2"/>
        <v>25000000</v>
      </c>
      <c r="AW5" s="20">
        <f t="shared" si="2"/>
        <v>25000000</v>
      </c>
      <c r="AX5" s="20">
        <f t="shared" si="2"/>
        <v>25000000</v>
      </c>
      <c r="AY5" s="20">
        <f t="shared" si="2"/>
        <v>25000000</v>
      </c>
      <c r="AZ5" s="20">
        <f t="shared" si="2"/>
        <v>25000000</v>
      </c>
      <c r="BA5" s="20">
        <f t="shared" si="2"/>
        <v>25000000</v>
      </c>
      <c r="BB5" s="20">
        <f t="shared" si="2"/>
        <v>25000000</v>
      </c>
      <c r="BC5" s="20">
        <f t="shared" si="2"/>
        <v>25000000</v>
      </c>
      <c r="BD5" s="20">
        <f t="shared" si="2"/>
        <v>25000000</v>
      </c>
      <c r="BE5" s="20">
        <f t="shared" si="2"/>
        <v>25000000</v>
      </c>
      <c r="BF5" s="20">
        <f t="shared" si="2"/>
        <v>25000000</v>
      </c>
      <c r="BG5" s="20">
        <f t="shared" si="2"/>
        <v>25000000</v>
      </c>
      <c r="BH5" s="20">
        <f t="shared" si="2"/>
        <v>25000000</v>
      </c>
      <c r="BI5" s="20">
        <f t="shared" si="2"/>
        <v>25000000</v>
      </c>
      <c r="BJ5" s="20">
        <f t="shared" si="2"/>
        <v>25000000</v>
      </c>
      <c r="BK5" s="20">
        <f t="shared" si="2"/>
        <v>25000000</v>
      </c>
      <c r="BL5" s="20">
        <f t="shared" si="2"/>
        <v>25000000</v>
      </c>
      <c r="BM5" s="20">
        <f t="shared" si="2"/>
        <v>25000000</v>
      </c>
    </row>
    <row r="6" spans="1:65" s="10" customFormat="1">
      <c r="A6" s="109" t="s">
        <v>15</v>
      </c>
      <c r="B6" s="106"/>
      <c r="C6" s="392">
        <f>B10+B11+B12+B13+B14+B15+B16+B17</f>
        <v>25000000</v>
      </c>
      <c r="E6" s="16" t="s">
        <v>185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</row>
    <row r="7" spans="1:65" s="10" customFormat="1">
      <c r="A7" s="109" t="s">
        <v>19</v>
      </c>
      <c r="B7" s="106"/>
      <c r="C7" s="393">
        <f>(B10/C10/12)+(B11/C11/12)+(B12/C12/12)+(B13/C13/12)+(B14/C14/12)+(B15/C15/12)+(B16/C16/12)+(B17/C17/12)+('8) Opening Balance Sheet'!C12/'8) Opening Balance Sheet'!D12/12)</f>
        <v>229166.66666666666</v>
      </c>
      <c r="E7" s="16" t="s">
        <v>18</v>
      </c>
      <c r="F7" s="20">
        <f>$C$7+(F6/C18/12)</f>
        <v>229166.66666666666</v>
      </c>
      <c r="G7" s="20">
        <f>F7+(G6/$C$18/12)</f>
        <v>229166.66666666666</v>
      </c>
      <c r="H7" s="20">
        <f t="shared" ref="H7:BM7" si="3">G7+(H6/$C$18/12)</f>
        <v>229166.66666666666</v>
      </c>
      <c r="I7" s="20">
        <f t="shared" si="3"/>
        <v>229166.66666666666</v>
      </c>
      <c r="J7" s="20">
        <f t="shared" si="3"/>
        <v>229166.66666666666</v>
      </c>
      <c r="K7" s="20">
        <f t="shared" si="3"/>
        <v>229166.66666666666</v>
      </c>
      <c r="L7" s="20">
        <f t="shared" si="3"/>
        <v>229166.66666666666</v>
      </c>
      <c r="M7" s="20">
        <f t="shared" si="3"/>
        <v>229166.66666666666</v>
      </c>
      <c r="N7" s="20">
        <f t="shared" si="3"/>
        <v>229166.66666666666</v>
      </c>
      <c r="O7" s="20">
        <f t="shared" si="3"/>
        <v>229166.66666666666</v>
      </c>
      <c r="P7" s="20">
        <f t="shared" si="3"/>
        <v>229166.66666666666</v>
      </c>
      <c r="Q7" s="20">
        <f t="shared" si="3"/>
        <v>229166.66666666666</v>
      </c>
      <c r="R7" s="20">
        <f t="shared" si="3"/>
        <v>229166.66666666666</v>
      </c>
      <c r="S7" s="20">
        <f t="shared" si="3"/>
        <v>229166.66666666666</v>
      </c>
      <c r="T7" s="20">
        <f t="shared" si="3"/>
        <v>229166.66666666666</v>
      </c>
      <c r="U7" s="20">
        <f t="shared" si="3"/>
        <v>229166.66666666666</v>
      </c>
      <c r="V7" s="20">
        <f t="shared" si="3"/>
        <v>229166.66666666666</v>
      </c>
      <c r="W7" s="20">
        <f t="shared" si="3"/>
        <v>229166.66666666666</v>
      </c>
      <c r="X7" s="20">
        <f t="shared" si="3"/>
        <v>229166.66666666666</v>
      </c>
      <c r="Y7" s="20">
        <f t="shared" si="3"/>
        <v>229166.66666666666</v>
      </c>
      <c r="Z7" s="20">
        <f t="shared" si="3"/>
        <v>229166.66666666666</v>
      </c>
      <c r="AA7" s="20">
        <f t="shared" si="3"/>
        <v>229166.66666666666</v>
      </c>
      <c r="AB7" s="20">
        <f t="shared" si="3"/>
        <v>229166.66666666666</v>
      </c>
      <c r="AC7" s="20">
        <f t="shared" si="3"/>
        <v>229166.66666666666</v>
      </c>
      <c r="AD7" s="20">
        <f t="shared" si="3"/>
        <v>229166.66666666666</v>
      </c>
      <c r="AE7" s="20">
        <f t="shared" si="3"/>
        <v>229166.66666666666</v>
      </c>
      <c r="AF7" s="20">
        <f t="shared" si="3"/>
        <v>229166.66666666666</v>
      </c>
      <c r="AG7" s="20">
        <f t="shared" si="3"/>
        <v>229166.66666666666</v>
      </c>
      <c r="AH7" s="20">
        <f t="shared" si="3"/>
        <v>229166.66666666666</v>
      </c>
      <c r="AI7" s="20">
        <f t="shared" si="3"/>
        <v>229166.66666666666</v>
      </c>
      <c r="AJ7" s="20">
        <f t="shared" si="3"/>
        <v>229166.66666666666</v>
      </c>
      <c r="AK7" s="20">
        <f t="shared" si="3"/>
        <v>229166.66666666666</v>
      </c>
      <c r="AL7" s="20">
        <f t="shared" si="3"/>
        <v>229166.66666666666</v>
      </c>
      <c r="AM7" s="20">
        <f t="shared" si="3"/>
        <v>229166.66666666666</v>
      </c>
      <c r="AN7" s="20">
        <f t="shared" si="3"/>
        <v>229166.66666666666</v>
      </c>
      <c r="AO7" s="20">
        <f t="shared" si="3"/>
        <v>229166.66666666666</v>
      </c>
      <c r="AP7" s="20">
        <f t="shared" si="3"/>
        <v>229166.66666666666</v>
      </c>
      <c r="AQ7" s="20">
        <f t="shared" si="3"/>
        <v>229166.66666666666</v>
      </c>
      <c r="AR7" s="20">
        <f t="shared" si="3"/>
        <v>229166.66666666666</v>
      </c>
      <c r="AS7" s="20">
        <f t="shared" si="3"/>
        <v>229166.66666666666</v>
      </c>
      <c r="AT7" s="20">
        <f t="shared" si="3"/>
        <v>229166.66666666666</v>
      </c>
      <c r="AU7" s="20">
        <f t="shared" si="3"/>
        <v>229166.66666666666</v>
      </c>
      <c r="AV7" s="20">
        <f t="shared" si="3"/>
        <v>229166.66666666666</v>
      </c>
      <c r="AW7" s="20">
        <f t="shared" si="3"/>
        <v>229166.66666666666</v>
      </c>
      <c r="AX7" s="20">
        <f t="shared" si="3"/>
        <v>229166.66666666666</v>
      </c>
      <c r="AY7" s="20">
        <f t="shared" si="3"/>
        <v>229166.66666666666</v>
      </c>
      <c r="AZ7" s="20">
        <f t="shared" si="3"/>
        <v>229166.66666666666</v>
      </c>
      <c r="BA7" s="20">
        <f t="shared" si="3"/>
        <v>229166.66666666666</v>
      </c>
      <c r="BB7" s="20">
        <f t="shared" si="3"/>
        <v>229166.66666666666</v>
      </c>
      <c r="BC7" s="20">
        <f t="shared" si="3"/>
        <v>229166.66666666666</v>
      </c>
      <c r="BD7" s="20">
        <f t="shared" si="3"/>
        <v>229166.66666666666</v>
      </c>
      <c r="BE7" s="20">
        <f t="shared" si="3"/>
        <v>229166.66666666666</v>
      </c>
      <c r="BF7" s="20">
        <f t="shared" si="3"/>
        <v>229166.66666666666</v>
      </c>
      <c r="BG7" s="20">
        <f t="shared" si="3"/>
        <v>229166.66666666666</v>
      </c>
      <c r="BH7" s="20">
        <f t="shared" si="3"/>
        <v>229166.66666666666</v>
      </c>
      <c r="BI7" s="20">
        <f t="shared" si="3"/>
        <v>229166.66666666666</v>
      </c>
      <c r="BJ7" s="20">
        <f t="shared" si="3"/>
        <v>229166.66666666666</v>
      </c>
      <c r="BK7" s="20">
        <f t="shared" si="3"/>
        <v>229166.66666666666</v>
      </c>
      <c r="BL7" s="20">
        <f t="shared" si="3"/>
        <v>229166.66666666666</v>
      </c>
      <c r="BM7" s="20">
        <f t="shared" si="3"/>
        <v>229166.66666666666</v>
      </c>
    </row>
    <row r="8" spans="1:65" s="10" customFormat="1">
      <c r="A8" s="171"/>
      <c r="B8" s="171"/>
      <c r="C8" s="171"/>
      <c r="D8" s="20"/>
      <c r="E8" s="16" t="s">
        <v>20</v>
      </c>
      <c r="F8" s="20">
        <f>F7</f>
        <v>229166.66666666666</v>
      </c>
      <c r="G8" s="20">
        <f>F8+G7</f>
        <v>458333.33333333331</v>
      </c>
      <c r="H8" s="20">
        <f>G8+H7</f>
        <v>687500</v>
      </c>
      <c r="I8" s="20">
        <f t="shared" ref="I8:BM8" si="4">H8+I7</f>
        <v>916666.66666666663</v>
      </c>
      <c r="J8" s="20">
        <f t="shared" si="4"/>
        <v>1145833.3333333333</v>
      </c>
      <c r="K8" s="20">
        <f t="shared" si="4"/>
        <v>1375000</v>
      </c>
      <c r="L8" s="20">
        <f t="shared" si="4"/>
        <v>1604166.6666666667</v>
      </c>
      <c r="M8" s="20">
        <f t="shared" si="4"/>
        <v>1833333.3333333335</v>
      </c>
      <c r="N8" s="20">
        <f t="shared" si="4"/>
        <v>2062500.0000000002</v>
      </c>
      <c r="O8" s="20">
        <f t="shared" si="4"/>
        <v>2291666.666666667</v>
      </c>
      <c r="P8" s="20">
        <f t="shared" si="4"/>
        <v>2520833.3333333335</v>
      </c>
      <c r="Q8" s="20">
        <f t="shared" si="4"/>
        <v>2750000</v>
      </c>
      <c r="R8" s="20">
        <f t="shared" si="4"/>
        <v>2979166.6666666665</v>
      </c>
      <c r="S8" s="20">
        <f t="shared" si="4"/>
        <v>3208333.333333333</v>
      </c>
      <c r="T8" s="20">
        <f t="shared" si="4"/>
        <v>3437499.9999999995</v>
      </c>
      <c r="U8" s="20">
        <f t="shared" si="4"/>
        <v>3666666.666666666</v>
      </c>
      <c r="V8" s="20">
        <f t="shared" si="4"/>
        <v>3895833.3333333326</v>
      </c>
      <c r="W8" s="20">
        <f t="shared" si="4"/>
        <v>4124999.9999999991</v>
      </c>
      <c r="X8" s="20">
        <f t="shared" si="4"/>
        <v>4354166.666666666</v>
      </c>
      <c r="Y8" s="20">
        <f t="shared" si="4"/>
        <v>4583333.333333333</v>
      </c>
      <c r="Z8" s="20">
        <f t="shared" si="4"/>
        <v>4812500</v>
      </c>
      <c r="AA8" s="20">
        <f t="shared" si="4"/>
        <v>5041666.666666667</v>
      </c>
      <c r="AB8" s="20">
        <f t="shared" si="4"/>
        <v>5270833.333333334</v>
      </c>
      <c r="AC8" s="20">
        <f t="shared" si="4"/>
        <v>5500000.0000000009</v>
      </c>
      <c r="AD8" s="20">
        <f t="shared" si="4"/>
        <v>5729166.6666666679</v>
      </c>
      <c r="AE8" s="20">
        <f t="shared" si="4"/>
        <v>5958333.3333333349</v>
      </c>
      <c r="AF8" s="20">
        <f t="shared" si="4"/>
        <v>6187500.0000000019</v>
      </c>
      <c r="AG8" s="20">
        <f t="shared" si="4"/>
        <v>6416666.6666666688</v>
      </c>
      <c r="AH8" s="20">
        <f t="shared" si="4"/>
        <v>6645833.3333333358</v>
      </c>
      <c r="AI8" s="20">
        <f t="shared" si="4"/>
        <v>6875000.0000000028</v>
      </c>
      <c r="AJ8" s="20">
        <f t="shared" si="4"/>
        <v>7104166.6666666698</v>
      </c>
      <c r="AK8" s="20">
        <f t="shared" si="4"/>
        <v>7333333.3333333367</v>
      </c>
      <c r="AL8" s="20">
        <f t="shared" si="4"/>
        <v>7562500.0000000037</v>
      </c>
      <c r="AM8" s="20">
        <f t="shared" si="4"/>
        <v>7791666.6666666707</v>
      </c>
      <c r="AN8" s="20">
        <f t="shared" si="4"/>
        <v>8020833.3333333377</v>
      </c>
      <c r="AO8" s="20">
        <f t="shared" si="4"/>
        <v>8250000.0000000047</v>
      </c>
      <c r="AP8" s="20">
        <f t="shared" si="4"/>
        <v>8479166.6666666716</v>
      </c>
      <c r="AQ8" s="20">
        <f t="shared" si="4"/>
        <v>8708333.3333333377</v>
      </c>
      <c r="AR8" s="20">
        <f t="shared" si="4"/>
        <v>8937500.0000000037</v>
      </c>
      <c r="AS8" s="20">
        <f t="shared" si="4"/>
        <v>9166666.6666666698</v>
      </c>
      <c r="AT8" s="20">
        <f t="shared" si="4"/>
        <v>9395833.3333333358</v>
      </c>
      <c r="AU8" s="20">
        <f t="shared" si="4"/>
        <v>9625000.0000000019</v>
      </c>
      <c r="AV8" s="20">
        <f t="shared" si="4"/>
        <v>9854166.6666666679</v>
      </c>
      <c r="AW8" s="20">
        <f t="shared" si="4"/>
        <v>10083333.333333334</v>
      </c>
      <c r="AX8" s="20">
        <f t="shared" si="4"/>
        <v>10312500</v>
      </c>
      <c r="AY8" s="20">
        <f t="shared" si="4"/>
        <v>10541666.666666666</v>
      </c>
      <c r="AZ8" s="20">
        <f t="shared" si="4"/>
        <v>10770833.333333332</v>
      </c>
      <c r="BA8" s="20">
        <f t="shared" si="4"/>
        <v>10999999.999999998</v>
      </c>
      <c r="BB8" s="20">
        <f t="shared" si="4"/>
        <v>11229166.666666664</v>
      </c>
      <c r="BC8" s="20">
        <f t="shared" si="4"/>
        <v>11458333.33333333</v>
      </c>
      <c r="BD8" s="20">
        <f t="shared" si="4"/>
        <v>11687499.999999996</v>
      </c>
      <c r="BE8" s="20">
        <f t="shared" si="4"/>
        <v>11916666.666666662</v>
      </c>
      <c r="BF8" s="20">
        <f t="shared" si="4"/>
        <v>12145833.333333328</v>
      </c>
      <c r="BG8" s="20">
        <f t="shared" si="4"/>
        <v>12374999.999999994</v>
      </c>
      <c r="BH8" s="20">
        <f t="shared" si="4"/>
        <v>12604166.66666666</v>
      </c>
      <c r="BI8" s="20">
        <f t="shared" si="4"/>
        <v>12833333.333333327</v>
      </c>
      <c r="BJ8" s="20">
        <f t="shared" si="4"/>
        <v>13062499.999999993</v>
      </c>
      <c r="BK8" s="20">
        <f t="shared" si="4"/>
        <v>13291666.666666659</v>
      </c>
      <c r="BL8" s="20">
        <f t="shared" si="4"/>
        <v>13520833.333333325</v>
      </c>
      <c r="BM8" s="20">
        <f t="shared" si="4"/>
        <v>13749999.999999991</v>
      </c>
    </row>
    <row r="9" spans="1:65" s="10" customFormat="1">
      <c r="A9" s="172" t="s">
        <v>181</v>
      </c>
      <c r="B9" s="172" t="s">
        <v>182</v>
      </c>
      <c r="C9" s="172" t="s">
        <v>183</v>
      </c>
      <c r="E9" s="57" t="s">
        <v>12</v>
      </c>
      <c r="F9" s="53">
        <f>F5+F6-F7</f>
        <v>24770833.333333332</v>
      </c>
      <c r="G9" s="53">
        <f>G5+G6-G8</f>
        <v>24541666.666666668</v>
      </c>
      <c r="H9" s="53">
        <f t="shared" ref="H9:BM9" si="5">H5+H6-H8</f>
        <v>24312500</v>
      </c>
      <c r="I9" s="53">
        <f t="shared" si="5"/>
        <v>24083333.333333332</v>
      </c>
      <c r="J9" s="53">
        <f t="shared" si="5"/>
        <v>23854166.666666668</v>
      </c>
      <c r="K9" s="53">
        <f t="shared" si="5"/>
        <v>23625000</v>
      </c>
      <c r="L9" s="53">
        <f t="shared" si="5"/>
        <v>23395833.333333332</v>
      </c>
      <c r="M9" s="53">
        <f t="shared" si="5"/>
        <v>23166666.666666668</v>
      </c>
      <c r="N9" s="53">
        <f t="shared" si="5"/>
        <v>22937500</v>
      </c>
      <c r="O9" s="53">
        <f t="shared" si="5"/>
        <v>22708333.333333332</v>
      </c>
      <c r="P9" s="53">
        <f t="shared" si="5"/>
        <v>22479166.666666668</v>
      </c>
      <c r="Q9" s="53">
        <f t="shared" si="5"/>
        <v>22250000</v>
      </c>
      <c r="R9" s="53">
        <f t="shared" si="5"/>
        <v>22020833.333333332</v>
      </c>
      <c r="S9" s="53">
        <f t="shared" si="5"/>
        <v>21791666.666666668</v>
      </c>
      <c r="T9" s="53">
        <f t="shared" si="5"/>
        <v>21562500</v>
      </c>
      <c r="U9" s="53">
        <f t="shared" si="5"/>
        <v>21333333.333333336</v>
      </c>
      <c r="V9" s="53">
        <f t="shared" si="5"/>
        <v>21104166.666666668</v>
      </c>
      <c r="W9" s="53">
        <f t="shared" si="5"/>
        <v>20875000</v>
      </c>
      <c r="X9" s="53">
        <f t="shared" si="5"/>
        <v>20645833.333333336</v>
      </c>
      <c r="Y9" s="53">
        <f t="shared" si="5"/>
        <v>20416666.666666668</v>
      </c>
      <c r="Z9" s="53">
        <f t="shared" si="5"/>
        <v>20187500</v>
      </c>
      <c r="AA9" s="53">
        <f t="shared" si="5"/>
        <v>19958333.333333332</v>
      </c>
      <c r="AB9" s="53">
        <f t="shared" si="5"/>
        <v>19729166.666666664</v>
      </c>
      <c r="AC9" s="53">
        <f t="shared" si="5"/>
        <v>19500000</v>
      </c>
      <c r="AD9" s="53">
        <f t="shared" si="5"/>
        <v>19270833.333333332</v>
      </c>
      <c r="AE9" s="53">
        <f t="shared" si="5"/>
        <v>19041666.666666664</v>
      </c>
      <c r="AF9" s="53">
        <f t="shared" si="5"/>
        <v>18812500</v>
      </c>
      <c r="AG9" s="53">
        <f t="shared" si="5"/>
        <v>18583333.333333332</v>
      </c>
      <c r="AH9" s="53">
        <f t="shared" si="5"/>
        <v>18354166.666666664</v>
      </c>
      <c r="AI9" s="53">
        <f t="shared" si="5"/>
        <v>18124999.999999996</v>
      </c>
      <c r="AJ9" s="53">
        <f t="shared" si="5"/>
        <v>17895833.333333328</v>
      </c>
      <c r="AK9" s="53">
        <f t="shared" si="5"/>
        <v>17666666.666666664</v>
      </c>
      <c r="AL9" s="53">
        <f t="shared" si="5"/>
        <v>17437499.999999996</v>
      </c>
      <c r="AM9" s="53">
        <f t="shared" si="5"/>
        <v>17208333.333333328</v>
      </c>
      <c r="AN9" s="53">
        <f t="shared" si="5"/>
        <v>16979166.666666664</v>
      </c>
      <c r="AO9" s="53">
        <f t="shared" si="5"/>
        <v>16749999.999999996</v>
      </c>
      <c r="AP9" s="53">
        <f t="shared" si="5"/>
        <v>16520833.333333328</v>
      </c>
      <c r="AQ9" s="53">
        <f t="shared" si="5"/>
        <v>16291666.666666662</v>
      </c>
      <c r="AR9" s="53">
        <f t="shared" si="5"/>
        <v>16062499.999999996</v>
      </c>
      <c r="AS9" s="53">
        <f t="shared" si="5"/>
        <v>15833333.33333333</v>
      </c>
      <c r="AT9" s="53">
        <f t="shared" si="5"/>
        <v>15604166.666666664</v>
      </c>
      <c r="AU9" s="53">
        <f t="shared" si="5"/>
        <v>15374999.999999998</v>
      </c>
      <c r="AV9" s="53">
        <f t="shared" si="5"/>
        <v>15145833.333333332</v>
      </c>
      <c r="AW9" s="53">
        <f t="shared" si="5"/>
        <v>14916666.666666666</v>
      </c>
      <c r="AX9" s="53">
        <f t="shared" si="5"/>
        <v>14687500</v>
      </c>
      <c r="AY9" s="53">
        <f t="shared" si="5"/>
        <v>14458333.333333334</v>
      </c>
      <c r="AZ9" s="53">
        <f t="shared" si="5"/>
        <v>14229166.666666668</v>
      </c>
      <c r="BA9" s="53">
        <f t="shared" si="5"/>
        <v>14000000.000000002</v>
      </c>
      <c r="BB9" s="53">
        <f t="shared" si="5"/>
        <v>13770833.333333336</v>
      </c>
      <c r="BC9" s="53">
        <f t="shared" si="5"/>
        <v>13541666.66666667</v>
      </c>
      <c r="BD9" s="53">
        <f t="shared" si="5"/>
        <v>13312500.000000004</v>
      </c>
      <c r="BE9" s="53">
        <f t="shared" si="5"/>
        <v>13083333.333333338</v>
      </c>
      <c r="BF9" s="53">
        <f t="shared" si="5"/>
        <v>12854166.666666672</v>
      </c>
      <c r="BG9" s="53">
        <f t="shared" si="5"/>
        <v>12625000.000000006</v>
      </c>
      <c r="BH9" s="53">
        <f t="shared" si="5"/>
        <v>12395833.33333334</v>
      </c>
      <c r="BI9" s="53">
        <f t="shared" si="5"/>
        <v>12166666.666666673</v>
      </c>
      <c r="BJ9" s="53">
        <f t="shared" si="5"/>
        <v>11937500.000000007</v>
      </c>
      <c r="BK9" s="53">
        <f t="shared" si="5"/>
        <v>11708333.333333341</v>
      </c>
      <c r="BL9" s="53">
        <f t="shared" si="5"/>
        <v>11479166.666666675</v>
      </c>
      <c r="BM9" s="53">
        <f t="shared" si="5"/>
        <v>11250000.000000009</v>
      </c>
    </row>
    <row r="10" spans="1:65" s="10" customFormat="1">
      <c r="A10" s="288" t="s">
        <v>289</v>
      </c>
      <c r="B10" s="384">
        <v>22500000</v>
      </c>
      <c r="C10" s="394" t="s">
        <v>290</v>
      </c>
      <c r="D10" s="20"/>
    </row>
    <row r="11" spans="1:65" s="10" customFormat="1">
      <c r="A11" s="288" t="s">
        <v>291</v>
      </c>
      <c r="B11" s="384">
        <v>2500000</v>
      </c>
      <c r="C11" s="394" t="s">
        <v>292</v>
      </c>
      <c r="D11" s="170"/>
    </row>
    <row r="12" spans="1:65" s="10" customFormat="1" hidden="1">
      <c r="A12" s="288"/>
      <c r="B12" s="384">
        <v>0</v>
      </c>
      <c r="C12" s="394" t="s">
        <v>236</v>
      </c>
      <c r="D12" s="20"/>
    </row>
    <row r="13" spans="1:65" s="10" customFormat="1" hidden="1">
      <c r="A13" s="288"/>
      <c r="B13" s="384">
        <v>0</v>
      </c>
      <c r="C13" s="394" t="s">
        <v>236</v>
      </c>
      <c r="D13" s="20"/>
    </row>
    <row r="14" spans="1:65" s="10" customFormat="1" hidden="1">
      <c r="A14" s="288"/>
      <c r="B14" s="384">
        <v>0</v>
      </c>
      <c r="C14" s="394" t="s">
        <v>236</v>
      </c>
      <c r="D14" s="20"/>
    </row>
    <row r="15" spans="1:65" s="10" customFormat="1" hidden="1">
      <c r="A15" s="288"/>
      <c r="B15" s="384">
        <v>0</v>
      </c>
      <c r="C15" s="394" t="s">
        <v>236</v>
      </c>
      <c r="D15" s="20"/>
    </row>
    <row r="16" spans="1:65" s="10" customFormat="1" hidden="1">
      <c r="A16" s="288"/>
      <c r="B16" s="384">
        <v>0</v>
      </c>
      <c r="C16" s="394" t="s">
        <v>236</v>
      </c>
      <c r="D16" s="20"/>
    </row>
    <row r="17" spans="1:65" s="10" customFormat="1" hidden="1">
      <c r="A17" s="288"/>
      <c r="B17" s="384">
        <v>0</v>
      </c>
      <c r="C17" s="394" t="s">
        <v>236</v>
      </c>
      <c r="D17" s="20"/>
    </row>
    <row r="18" spans="1:65" s="10" customFormat="1">
      <c r="A18" s="109" t="s">
        <v>185</v>
      </c>
      <c r="B18" s="179"/>
      <c r="C18" s="394" t="s">
        <v>236</v>
      </c>
      <c r="D18" s="20"/>
    </row>
    <row r="19" spans="1:65" s="10" customFormat="1" ht="12" customHeight="1">
      <c r="D19" s="56"/>
    </row>
    <row r="20" spans="1:65" s="389" customFormat="1" hidden="1"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R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P20" s="390"/>
    </row>
    <row r="21" spans="1:65" s="10" customFormat="1" hidden="1">
      <c r="A21" s="535" t="s">
        <v>14</v>
      </c>
      <c r="B21" s="535"/>
      <c r="C21" s="535"/>
      <c r="D21" s="169"/>
      <c r="E21" s="129"/>
      <c r="F21" s="537">
        <f>F3</f>
        <v>45261</v>
      </c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7">
        <f>'2) Assumptions'!$E$2</f>
        <v>45627</v>
      </c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7">
        <f>'2) Assumptions'!$F$2</f>
        <v>45992</v>
      </c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7">
        <f>'2) Assumptions'!$G$2</f>
        <v>46357</v>
      </c>
      <c r="AQ21" s="538"/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B21" s="537">
        <f>'2) Assumptions'!$H$2</f>
        <v>46722</v>
      </c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</row>
    <row r="22" spans="1:65" s="10" customFormat="1" hidden="1">
      <c r="A22" s="535" t="s">
        <v>286</v>
      </c>
      <c r="B22" s="535"/>
      <c r="C22" s="535"/>
      <c r="D22" s="169"/>
      <c r="E22" s="130"/>
      <c r="F22" s="138">
        <f>EDATE('2) Assumptions'!$D$5,0)</f>
        <v>44927</v>
      </c>
      <c r="G22" s="131">
        <f>EDATE('2) Assumptions'!$D$5,1)</f>
        <v>44958</v>
      </c>
      <c r="H22" s="131">
        <f>EDATE('2) Assumptions'!$D$5,2)</f>
        <v>44986</v>
      </c>
      <c r="I22" s="131">
        <f>EDATE('2) Assumptions'!$D$5,3)</f>
        <v>45017</v>
      </c>
      <c r="J22" s="131">
        <f>EDATE('2) Assumptions'!$D$5,4)</f>
        <v>45047</v>
      </c>
      <c r="K22" s="131">
        <f>EDATE('2) Assumptions'!$D$5,5)</f>
        <v>45078</v>
      </c>
      <c r="L22" s="131">
        <f>EDATE('2) Assumptions'!$D$5,6)</f>
        <v>45108</v>
      </c>
      <c r="M22" s="131">
        <f>EDATE('2) Assumptions'!$D$5,7)</f>
        <v>45139</v>
      </c>
      <c r="N22" s="131">
        <f>EDATE('2) Assumptions'!$D$5,8)</f>
        <v>45170</v>
      </c>
      <c r="O22" s="131">
        <f>EDATE('2) Assumptions'!$D$5,9)</f>
        <v>45200</v>
      </c>
      <c r="P22" s="131">
        <f>EDATE('2) Assumptions'!$D$5,10)</f>
        <v>45231</v>
      </c>
      <c r="Q22" s="132">
        <f>EDATE('2) Assumptions'!$D$5,11)</f>
        <v>45261</v>
      </c>
      <c r="R22" s="138">
        <f t="shared" ref="R22:AC22" si="6">F22</f>
        <v>44927</v>
      </c>
      <c r="S22" s="131">
        <f t="shared" si="6"/>
        <v>44958</v>
      </c>
      <c r="T22" s="131">
        <f t="shared" si="6"/>
        <v>44986</v>
      </c>
      <c r="U22" s="131">
        <f t="shared" si="6"/>
        <v>45017</v>
      </c>
      <c r="V22" s="131">
        <f t="shared" si="6"/>
        <v>45047</v>
      </c>
      <c r="W22" s="131">
        <f t="shared" si="6"/>
        <v>45078</v>
      </c>
      <c r="X22" s="131">
        <f t="shared" si="6"/>
        <v>45108</v>
      </c>
      <c r="Y22" s="131">
        <f t="shared" si="6"/>
        <v>45139</v>
      </c>
      <c r="Z22" s="131">
        <f t="shared" si="6"/>
        <v>45170</v>
      </c>
      <c r="AA22" s="131">
        <f t="shared" si="6"/>
        <v>45200</v>
      </c>
      <c r="AB22" s="131">
        <f t="shared" si="6"/>
        <v>45231</v>
      </c>
      <c r="AC22" s="132">
        <f t="shared" si="6"/>
        <v>45261</v>
      </c>
      <c r="AD22" s="138">
        <f>EDATE('2) Assumptions'!$D$5,0)</f>
        <v>44927</v>
      </c>
      <c r="AE22" s="131">
        <f>EDATE('2) Assumptions'!$D$5,1)</f>
        <v>44958</v>
      </c>
      <c r="AF22" s="131">
        <f>EDATE('2) Assumptions'!$D$5,2)</f>
        <v>44986</v>
      </c>
      <c r="AG22" s="131">
        <f>EDATE('2) Assumptions'!$D$5,3)</f>
        <v>45017</v>
      </c>
      <c r="AH22" s="131">
        <f>EDATE('2) Assumptions'!$D$5,4)</f>
        <v>45047</v>
      </c>
      <c r="AI22" s="131">
        <f>EDATE('2) Assumptions'!$D$5,5)</f>
        <v>45078</v>
      </c>
      <c r="AJ22" s="131">
        <f>EDATE('2) Assumptions'!$D$5,6)</f>
        <v>45108</v>
      </c>
      <c r="AK22" s="131">
        <f>EDATE('2) Assumptions'!$D$5,7)</f>
        <v>45139</v>
      </c>
      <c r="AL22" s="131">
        <f>EDATE('2) Assumptions'!$D$5,8)</f>
        <v>45170</v>
      </c>
      <c r="AM22" s="131">
        <f>EDATE('2) Assumptions'!$D$5,9)</f>
        <v>45200</v>
      </c>
      <c r="AN22" s="131">
        <f>EDATE('2) Assumptions'!$D$5,10)</f>
        <v>45231</v>
      </c>
      <c r="AO22" s="132">
        <f>EDATE('2) Assumptions'!$D$5,11)</f>
        <v>45261</v>
      </c>
      <c r="AP22" s="138">
        <f t="shared" ref="AP22:BA22" si="7">AD22</f>
        <v>44927</v>
      </c>
      <c r="AQ22" s="131">
        <f t="shared" si="7"/>
        <v>44958</v>
      </c>
      <c r="AR22" s="131">
        <f t="shared" si="7"/>
        <v>44986</v>
      </c>
      <c r="AS22" s="131">
        <f t="shared" si="7"/>
        <v>45017</v>
      </c>
      <c r="AT22" s="131">
        <f t="shared" si="7"/>
        <v>45047</v>
      </c>
      <c r="AU22" s="131">
        <f t="shared" si="7"/>
        <v>45078</v>
      </c>
      <c r="AV22" s="131">
        <f t="shared" si="7"/>
        <v>45108</v>
      </c>
      <c r="AW22" s="131">
        <f t="shared" si="7"/>
        <v>45139</v>
      </c>
      <c r="AX22" s="131">
        <f t="shared" si="7"/>
        <v>45170</v>
      </c>
      <c r="AY22" s="131">
        <f t="shared" si="7"/>
        <v>45200</v>
      </c>
      <c r="AZ22" s="131">
        <f t="shared" si="7"/>
        <v>45231</v>
      </c>
      <c r="BA22" s="132">
        <f t="shared" si="7"/>
        <v>45261</v>
      </c>
      <c r="BB22" s="138">
        <f>EDATE('2) Assumptions'!$D$5,0)</f>
        <v>44927</v>
      </c>
      <c r="BC22" s="131">
        <f>EDATE('2) Assumptions'!$D$5,1)</f>
        <v>44958</v>
      </c>
      <c r="BD22" s="131">
        <f>EDATE('2) Assumptions'!$D$5,2)</f>
        <v>44986</v>
      </c>
      <c r="BE22" s="131">
        <f>EDATE('2) Assumptions'!$D$5,3)</f>
        <v>45017</v>
      </c>
      <c r="BF22" s="131">
        <f>EDATE('2) Assumptions'!$D$5,4)</f>
        <v>45047</v>
      </c>
      <c r="BG22" s="131">
        <f>EDATE('2) Assumptions'!$D$5,5)</f>
        <v>45078</v>
      </c>
      <c r="BH22" s="131">
        <f>EDATE('2) Assumptions'!$D$5,6)</f>
        <v>45108</v>
      </c>
      <c r="BI22" s="131">
        <f>EDATE('2) Assumptions'!$D$5,7)</f>
        <v>45139</v>
      </c>
      <c r="BJ22" s="131">
        <f>EDATE('2) Assumptions'!$D$5,8)</f>
        <v>45170</v>
      </c>
      <c r="BK22" s="131">
        <f>EDATE('2) Assumptions'!$D$5,9)</f>
        <v>45200</v>
      </c>
      <c r="BL22" s="131">
        <f>EDATE('2) Assumptions'!$D$5,10)</f>
        <v>45231</v>
      </c>
      <c r="BM22" s="132">
        <f>EDATE('2) Assumptions'!$D$5,11)</f>
        <v>45261</v>
      </c>
    </row>
    <row r="23" spans="1:65" s="10" customFormat="1" hidden="1">
      <c r="A23" s="109" t="s">
        <v>26</v>
      </c>
      <c r="B23" s="109"/>
      <c r="C23" s="55" t="s">
        <v>179</v>
      </c>
      <c r="E23" s="16" t="s">
        <v>13</v>
      </c>
      <c r="F23" s="20">
        <f>C24+'8) Opening Balance Sheet'!C13</f>
        <v>0</v>
      </c>
      <c r="G23" s="20">
        <f>F23</f>
        <v>0</v>
      </c>
      <c r="H23" s="20">
        <f t="shared" ref="H23:BM23" si="8">G23</f>
        <v>0</v>
      </c>
      <c r="I23" s="20">
        <f t="shared" si="8"/>
        <v>0</v>
      </c>
      <c r="J23" s="20">
        <f t="shared" si="8"/>
        <v>0</v>
      </c>
      <c r="K23" s="20">
        <f t="shared" si="8"/>
        <v>0</v>
      </c>
      <c r="L23" s="20">
        <f t="shared" si="8"/>
        <v>0</v>
      </c>
      <c r="M23" s="20">
        <f t="shared" si="8"/>
        <v>0</v>
      </c>
      <c r="N23" s="20">
        <f t="shared" si="8"/>
        <v>0</v>
      </c>
      <c r="O23" s="20">
        <f t="shared" si="8"/>
        <v>0</v>
      </c>
      <c r="P23" s="20">
        <f t="shared" si="8"/>
        <v>0</v>
      </c>
      <c r="Q23" s="20">
        <f t="shared" si="8"/>
        <v>0</v>
      </c>
      <c r="R23" s="20">
        <f t="shared" si="8"/>
        <v>0</v>
      </c>
      <c r="S23" s="20">
        <f t="shared" si="8"/>
        <v>0</v>
      </c>
      <c r="T23" s="20">
        <f t="shared" si="8"/>
        <v>0</v>
      </c>
      <c r="U23" s="20">
        <f t="shared" si="8"/>
        <v>0</v>
      </c>
      <c r="V23" s="20">
        <f t="shared" si="8"/>
        <v>0</v>
      </c>
      <c r="W23" s="20">
        <f t="shared" si="8"/>
        <v>0</v>
      </c>
      <c r="X23" s="20">
        <f t="shared" si="8"/>
        <v>0</v>
      </c>
      <c r="Y23" s="20">
        <f t="shared" si="8"/>
        <v>0</v>
      </c>
      <c r="Z23" s="20">
        <f t="shared" si="8"/>
        <v>0</v>
      </c>
      <c r="AA23" s="20">
        <f t="shared" si="8"/>
        <v>0</v>
      </c>
      <c r="AB23" s="20">
        <f t="shared" si="8"/>
        <v>0</v>
      </c>
      <c r="AC23" s="20">
        <f t="shared" si="8"/>
        <v>0</v>
      </c>
      <c r="AD23" s="20">
        <f t="shared" si="8"/>
        <v>0</v>
      </c>
      <c r="AE23" s="20">
        <f t="shared" si="8"/>
        <v>0</v>
      </c>
      <c r="AF23" s="20">
        <f t="shared" si="8"/>
        <v>0</v>
      </c>
      <c r="AG23" s="20">
        <f t="shared" si="8"/>
        <v>0</v>
      </c>
      <c r="AH23" s="20">
        <f t="shared" si="8"/>
        <v>0</v>
      </c>
      <c r="AI23" s="20">
        <f t="shared" si="8"/>
        <v>0</v>
      </c>
      <c r="AJ23" s="20">
        <f t="shared" si="8"/>
        <v>0</v>
      </c>
      <c r="AK23" s="20">
        <f t="shared" si="8"/>
        <v>0</v>
      </c>
      <c r="AL23" s="20">
        <f t="shared" si="8"/>
        <v>0</v>
      </c>
      <c r="AM23" s="20">
        <f t="shared" si="8"/>
        <v>0</v>
      </c>
      <c r="AN23" s="20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0">
        <f t="shared" si="8"/>
        <v>0</v>
      </c>
      <c r="BB23" s="20">
        <f t="shared" si="8"/>
        <v>0</v>
      </c>
      <c r="BC23" s="20">
        <f t="shared" si="8"/>
        <v>0</v>
      </c>
      <c r="BD23" s="20">
        <f t="shared" si="8"/>
        <v>0</v>
      </c>
      <c r="BE23" s="20">
        <f t="shared" si="8"/>
        <v>0</v>
      </c>
      <c r="BF23" s="20">
        <f t="shared" si="8"/>
        <v>0</v>
      </c>
      <c r="BG23" s="20">
        <f t="shared" si="8"/>
        <v>0</v>
      </c>
      <c r="BH23" s="20">
        <f t="shared" si="8"/>
        <v>0</v>
      </c>
      <c r="BI23" s="20">
        <f t="shared" si="8"/>
        <v>0</v>
      </c>
      <c r="BJ23" s="20">
        <f t="shared" si="8"/>
        <v>0</v>
      </c>
      <c r="BK23" s="20">
        <f t="shared" si="8"/>
        <v>0</v>
      </c>
      <c r="BL23" s="20">
        <f t="shared" si="8"/>
        <v>0</v>
      </c>
      <c r="BM23" s="51">
        <f t="shared" si="8"/>
        <v>0</v>
      </c>
    </row>
    <row r="24" spans="1:65" s="10" customFormat="1" hidden="1">
      <c r="A24" s="109" t="s">
        <v>15</v>
      </c>
      <c r="B24" s="109"/>
      <c r="C24" s="384">
        <v>0</v>
      </c>
      <c r="E24" s="16" t="s">
        <v>18</v>
      </c>
      <c r="F24" s="20">
        <f t="shared" ref="F24:AK24" si="9">$C$26</f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20">
        <f t="shared" si="9"/>
        <v>0</v>
      </c>
      <c r="K24" s="20">
        <f t="shared" si="9"/>
        <v>0</v>
      </c>
      <c r="L24" s="20">
        <f t="shared" si="9"/>
        <v>0</v>
      </c>
      <c r="M24" s="20">
        <f t="shared" si="9"/>
        <v>0</v>
      </c>
      <c r="N24" s="20">
        <f t="shared" si="9"/>
        <v>0</v>
      </c>
      <c r="O24" s="20">
        <f t="shared" si="9"/>
        <v>0</v>
      </c>
      <c r="P24" s="20">
        <f t="shared" si="9"/>
        <v>0</v>
      </c>
      <c r="Q24" s="20">
        <f t="shared" si="9"/>
        <v>0</v>
      </c>
      <c r="R24" s="20">
        <f t="shared" si="9"/>
        <v>0</v>
      </c>
      <c r="S24" s="20">
        <f t="shared" si="9"/>
        <v>0</v>
      </c>
      <c r="T24" s="20">
        <f t="shared" si="9"/>
        <v>0</v>
      </c>
      <c r="U24" s="20">
        <f t="shared" si="9"/>
        <v>0</v>
      </c>
      <c r="V24" s="20">
        <f t="shared" si="9"/>
        <v>0</v>
      </c>
      <c r="W24" s="20">
        <f t="shared" si="9"/>
        <v>0</v>
      </c>
      <c r="X24" s="20">
        <f t="shared" si="9"/>
        <v>0</v>
      </c>
      <c r="Y24" s="20">
        <f t="shared" si="9"/>
        <v>0</v>
      </c>
      <c r="Z24" s="20">
        <f t="shared" si="9"/>
        <v>0</v>
      </c>
      <c r="AA24" s="20">
        <f t="shared" si="9"/>
        <v>0</v>
      </c>
      <c r="AB24" s="20">
        <f t="shared" si="9"/>
        <v>0</v>
      </c>
      <c r="AC24" s="20">
        <f t="shared" si="9"/>
        <v>0</v>
      </c>
      <c r="AD24" s="20">
        <f t="shared" si="9"/>
        <v>0</v>
      </c>
      <c r="AE24" s="20">
        <f t="shared" si="9"/>
        <v>0</v>
      </c>
      <c r="AF24" s="20">
        <f t="shared" si="9"/>
        <v>0</v>
      </c>
      <c r="AG24" s="20">
        <f t="shared" si="9"/>
        <v>0</v>
      </c>
      <c r="AH24" s="20">
        <f t="shared" si="9"/>
        <v>0</v>
      </c>
      <c r="AI24" s="20">
        <f t="shared" si="9"/>
        <v>0</v>
      </c>
      <c r="AJ24" s="20">
        <f t="shared" si="9"/>
        <v>0</v>
      </c>
      <c r="AK24" s="20">
        <f t="shared" si="9"/>
        <v>0</v>
      </c>
      <c r="AL24" s="20">
        <f t="shared" ref="AL24:BM24" si="10">$C$26</f>
        <v>0</v>
      </c>
      <c r="AM24" s="20">
        <f t="shared" si="10"/>
        <v>0</v>
      </c>
      <c r="AN24" s="20">
        <f t="shared" si="10"/>
        <v>0</v>
      </c>
      <c r="AO24" s="20">
        <f t="shared" si="10"/>
        <v>0</v>
      </c>
      <c r="AP24" s="20">
        <f t="shared" si="10"/>
        <v>0</v>
      </c>
      <c r="AQ24" s="20">
        <f t="shared" si="10"/>
        <v>0</v>
      </c>
      <c r="AR24" s="20">
        <f t="shared" si="10"/>
        <v>0</v>
      </c>
      <c r="AS24" s="20">
        <f t="shared" si="10"/>
        <v>0</v>
      </c>
      <c r="AT24" s="20">
        <f t="shared" si="10"/>
        <v>0</v>
      </c>
      <c r="AU24" s="20">
        <f t="shared" si="10"/>
        <v>0</v>
      </c>
      <c r="AV24" s="20">
        <f t="shared" si="10"/>
        <v>0</v>
      </c>
      <c r="AW24" s="20">
        <f t="shared" si="10"/>
        <v>0</v>
      </c>
      <c r="AX24" s="20">
        <f t="shared" si="10"/>
        <v>0</v>
      </c>
      <c r="AY24" s="20">
        <f t="shared" si="10"/>
        <v>0</v>
      </c>
      <c r="AZ24" s="20">
        <f t="shared" si="10"/>
        <v>0</v>
      </c>
      <c r="BA24" s="20">
        <f t="shared" si="10"/>
        <v>0</v>
      </c>
      <c r="BB24" s="20">
        <f t="shared" si="10"/>
        <v>0</v>
      </c>
      <c r="BC24" s="20">
        <f t="shared" si="10"/>
        <v>0</v>
      </c>
      <c r="BD24" s="20">
        <f t="shared" si="10"/>
        <v>0</v>
      </c>
      <c r="BE24" s="20">
        <f t="shared" si="10"/>
        <v>0</v>
      </c>
      <c r="BF24" s="20">
        <f t="shared" si="10"/>
        <v>0</v>
      </c>
      <c r="BG24" s="20">
        <f t="shared" si="10"/>
        <v>0</v>
      </c>
      <c r="BH24" s="20">
        <f t="shared" si="10"/>
        <v>0</v>
      </c>
      <c r="BI24" s="20">
        <f t="shared" si="10"/>
        <v>0</v>
      </c>
      <c r="BJ24" s="20">
        <f t="shared" si="10"/>
        <v>0</v>
      </c>
      <c r="BK24" s="20">
        <f t="shared" si="10"/>
        <v>0</v>
      </c>
      <c r="BL24" s="20">
        <f t="shared" si="10"/>
        <v>0</v>
      </c>
      <c r="BM24" s="20">
        <f t="shared" si="10"/>
        <v>0</v>
      </c>
    </row>
    <row r="25" spans="1:65" s="10" customFormat="1" hidden="1">
      <c r="A25" s="109" t="s">
        <v>16</v>
      </c>
      <c r="B25" s="109"/>
      <c r="C25" s="384">
        <v>0</v>
      </c>
      <c r="E25" s="16" t="s">
        <v>20</v>
      </c>
      <c r="F25" s="20">
        <f>F24</f>
        <v>0</v>
      </c>
      <c r="G25" s="20">
        <f>F25+G24</f>
        <v>0</v>
      </c>
      <c r="H25" s="20">
        <f t="shared" ref="H25" si="11">G25+H24</f>
        <v>0</v>
      </c>
      <c r="I25" s="20">
        <f t="shared" ref="I25" si="12">H25+I24</f>
        <v>0</v>
      </c>
      <c r="J25" s="20">
        <f t="shared" ref="J25" si="13">I25+J24</f>
        <v>0</v>
      </c>
      <c r="K25" s="20">
        <f t="shared" ref="K25" si="14">J25+K24</f>
        <v>0</v>
      </c>
      <c r="L25" s="20">
        <f t="shared" ref="L25" si="15">K25+L24</f>
        <v>0</v>
      </c>
      <c r="M25" s="20">
        <f t="shared" ref="M25" si="16">L25+M24</f>
        <v>0</v>
      </c>
      <c r="N25" s="20">
        <f t="shared" ref="N25" si="17">M25+N24</f>
        <v>0</v>
      </c>
      <c r="O25" s="20">
        <f t="shared" ref="O25" si="18">N25+O24</f>
        <v>0</v>
      </c>
      <c r="P25" s="20">
        <f t="shared" ref="P25" si="19">O25+P24</f>
        <v>0</v>
      </c>
      <c r="Q25" s="20">
        <f t="shared" ref="Q25" si="20">P25+Q24</f>
        <v>0</v>
      </c>
      <c r="R25" s="20">
        <f t="shared" ref="R25" si="21">Q25+R24</f>
        <v>0</v>
      </c>
      <c r="S25" s="20">
        <f t="shared" ref="S25" si="22">R25+S24</f>
        <v>0</v>
      </c>
      <c r="T25" s="20">
        <f t="shared" ref="T25" si="23">S25+T24</f>
        <v>0</v>
      </c>
      <c r="U25" s="20">
        <f t="shared" ref="U25" si="24">T25+U24</f>
        <v>0</v>
      </c>
      <c r="V25" s="20">
        <f t="shared" ref="V25" si="25">U25+V24</f>
        <v>0</v>
      </c>
      <c r="W25" s="20">
        <f t="shared" ref="W25" si="26">V25+W24</f>
        <v>0</v>
      </c>
      <c r="X25" s="20">
        <f t="shared" ref="X25" si="27">W25+X24</f>
        <v>0</v>
      </c>
      <c r="Y25" s="20">
        <f t="shared" ref="Y25" si="28">X25+Y24</f>
        <v>0</v>
      </c>
      <c r="Z25" s="20">
        <f t="shared" ref="Z25" si="29">Y25+Z24</f>
        <v>0</v>
      </c>
      <c r="AA25" s="20">
        <f t="shared" ref="AA25" si="30">Z25+AA24</f>
        <v>0</v>
      </c>
      <c r="AB25" s="20">
        <f t="shared" ref="AB25" si="31">AA25+AB24</f>
        <v>0</v>
      </c>
      <c r="AC25" s="20">
        <f t="shared" ref="AC25" si="32">AB25+AC24</f>
        <v>0</v>
      </c>
      <c r="AD25" s="20">
        <f t="shared" ref="AD25" si="33">AC25+AD24</f>
        <v>0</v>
      </c>
      <c r="AE25" s="20">
        <f t="shared" ref="AE25" si="34">AD25+AE24</f>
        <v>0</v>
      </c>
      <c r="AF25" s="20">
        <f t="shared" ref="AF25" si="35">AE25+AF24</f>
        <v>0</v>
      </c>
      <c r="AG25" s="20">
        <f t="shared" ref="AG25" si="36">AF25+AG24</f>
        <v>0</v>
      </c>
      <c r="AH25" s="20">
        <f t="shared" ref="AH25" si="37">AG25+AH24</f>
        <v>0</v>
      </c>
      <c r="AI25" s="20">
        <f t="shared" ref="AI25" si="38">AH25+AI24</f>
        <v>0</v>
      </c>
      <c r="AJ25" s="20">
        <f t="shared" ref="AJ25" si="39">AI25+AJ24</f>
        <v>0</v>
      </c>
      <c r="AK25" s="20">
        <f t="shared" ref="AK25" si="40">AJ25+AK24</f>
        <v>0</v>
      </c>
      <c r="AL25" s="20">
        <f t="shared" ref="AL25" si="41">AK25+AL24</f>
        <v>0</v>
      </c>
      <c r="AM25" s="20">
        <f t="shared" ref="AM25" si="42">AL25+AM24</f>
        <v>0</v>
      </c>
      <c r="AN25" s="20">
        <f t="shared" ref="AN25" si="43">AM25+AN24</f>
        <v>0</v>
      </c>
      <c r="AO25" s="20">
        <f t="shared" ref="AO25" si="44">AN25+AO24</f>
        <v>0</v>
      </c>
      <c r="AP25" s="20">
        <f t="shared" ref="AP25" si="45">AO25+AP24</f>
        <v>0</v>
      </c>
      <c r="AQ25" s="20">
        <f t="shared" ref="AQ25" si="46">AP25+AQ24</f>
        <v>0</v>
      </c>
      <c r="AR25" s="20">
        <f t="shared" ref="AR25" si="47">AQ25+AR24</f>
        <v>0</v>
      </c>
      <c r="AS25" s="20">
        <f t="shared" ref="AS25" si="48">AR25+AS24</f>
        <v>0</v>
      </c>
      <c r="AT25" s="20">
        <f t="shared" ref="AT25" si="49">AS25+AT24</f>
        <v>0</v>
      </c>
      <c r="AU25" s="20">
        <f t="shared" ref="AU25" si="50">AT25+AU24</f>
        <v>0</v>
      </c>
      <c r="AV25" s="20">
        <f t="shared" ref="AV25" si="51">AU25+AV24</f>
        <v>0</v>
      </c>
      <c r="AW25" s="20">
        <f t="shared" ref="AW25" si="52">AV25+AW24</f>
        <v>0</v>
      </c>
      <c r="AX25" s="20">
        <f t="shared" ref="AX25" si="53">AW25+AX24</f>
        <v>0</v>
      </c>
      <c r="AY25" s="20">
        <f t="shared" ref="AY25" si="54">AX25+AY24</f>
        <v>0</v>
      </c>
      <c r="AZ25" s="20">
        <f t="shared" ref="AZ25" si="55">AY25+AZ24</f>
        <v>0</v>
      </c>
      <c r="BA25" s="20">
        <f t="shared" ref="BA25" si="56">AZ25+BA24</f>
        <v>0</v>
      </c>
      <c r="BB25" s="20">
        <f t="shared" ref="BB25" si="57">BA25+BB24</f>
        <v>0</v>
      </c>
      <c r="BC25" s="20">
        <f t="shared" ref="BC25" si="58">BB25+BC24</f>
        <v>0</v>
      </c>
      <c r="BD25" s="20">
        <f t="shared" ref="BD25" si="59">BC25+BD24</f>
        <v>0</v>
      </c>
      <c r="BE25" s="20">
        <f t="shared" ref="BE25" si="60">BD25+BE24</f>
        <v>0</v>
      </c>
      <c r="BF25" s="20">
        <f t="shared" ref="BF25" si="61">BE25+BF24</f>
        <v>0</v>
      </c>
      <c r="BG25" s="20">
        <f t="shared" ref="BG25" si="62">BF25+BG24</f>
        <v>0</v>
      </c>
      <c r="BH25" s="20">
        <f t="shared" ref="BH25" si="63">BG25+BH24</f>
        <v>0</v>
      </c>
      <c r="BI25" s="20">
        <f t="shared" ref="BI25" si="64">BH25+BI24</f>
        <v>0</v>
      </c>
      <c r="BJ25" s="20">
        <f t="shared" ref="BJ25" si="65">BI25+BJ24</f>
        <v>0</v>
      </c>
      <c r="BK25" s="20">
        <f t="shared" ref="BK25" si="66">BJ25+BK24</f>
        <v>0</v>
      </c>
      <c r="BL25" s="20">
        <f t="shared" ref="BL25" si="67">BK25+BL24</f>
        <v>0</v>
      </c>
      <c r="BM25" s="20">
        <f t="shared" ref="BM25" si="68">BL25+BM24</f>
        <v>0</v>
      </c>
    </row>
    <row r="26" spans="1:65" s="10" customFormat="1" hidden="1">
      <c r="A26" s="109" t="s">
        <v>19</v>
      </c>
      <c r="B26" s="109"/>
      <c r="C26" s="392">
        <v>0</v>
      </c>
      <c r="E26" s="57" t="s">
        <v>12</v>
      </c>
      <c r="F26" s="53">
        <f>F23-F24</f>
        <v>0</v>
      </c>
      <c r="G26" s="53">
        <f t="shared" ref="G26:AL26" si="69">$F$23-G25</f>
        <v>0</v>
      </c>
      <c r="H26" s="53">
        <f t="shared" si="69"/>
        <v>0</v>
      </c>
      <c r="I26" s="53">
        <f t="shared" si="69"/>
        <v>0</v>
      </c>
      <c r="J26" s="53">
        <f t="shared" si="69"/>
        <v>0</v>
      </c>
      <c r="K26" s="53">
        <f t="shared" si="69"/>
        <v>0</v>
      </c>
      <c r="L26" s="53">
        <f t="shared" si="69"/>
        <v>0</v>
      </c>
      <c r="M26" s="53">
        <f t="shared" si="69"/>
        <v>0</v>
      </c>
      <c r="N26" s="53">
        <f t="shared" si="69"/>
        <v>0</v>
      </c>
      <c r="O26" s="53">
        <f t="shared" si="69"/>
        <v>0</v>
      </c>
      <c r="P26" s="53">
        <f t="shared" si="69"/>
        <v>0</v>
      </c>
      <c r="Q26" s="53">
        <f t="shared" si="69"/>
        <v>0</v>
      </c>
      <c r="R26" s="53">
        <f t="shared" si="69"/>
        <v>0</v>
      </c>
      <c r="S26" s="53">
        <f t="shared" si="69"/>
        <v>0</v>
      </c>
      <c r="T26" s="53">
        <f t="shared" si="69"/>
        <v>0</v>
      </c>
      <c r="U26" s="53">
        <f t="shared" si="69"/>
        <v>0</v>
      </c>
      <c r="V26" s="53">
        <f t="shared" si="69"/>
        <v>0</v>
      </c>
      <c r="W26" s="53">
        <f t="shared" si="69"/>
        <v>0</v>
      </c>
      <c r="X26" s="53">
        <f t="shared" si="69"/>
        <v>0</v>
      </c>
      <c r="Y26" s="53">
        <f t="shared" si="69"/>
        <v>0</v>
      </c>
      <c r="Z26" s="53">
        <f t="shared" si="69"/>
        <v>0</v>
      </c>
      <c r="AA26" s="53">
        <f t="shared" si="69"/>
        <v>0</v>
      </c>
      <c r="AB26" s="53">
        <f t="shared" si="69"/>
        <v>0</v>
      </c>
      <c r="AC26" s="53">
        <f t="shared" si="69"/>
        <v>0</v>
      </c>
      <c r="AD26" s="53">
        <f t="shared" si="69"/>
        <v>0</v>
      </c>
      <c r="AE26" s="53">
        <f t="shared" si="69"/>
        <v>0</v>
      </c>
      <c r="AF26" s="53">
        <f t="shared" si="69"/>
        <v>0</v>
      </c>
      <c r="AG26" s="53">
        <f t="shared" si="69"/>
        <v>0</v>
      </c>
      <c r="AH26" s="53">
        <f t="shared" si="69"/>
        <v>0</v>
      </c>
      <c r="AI26" s="53">
        <f t="shared" si="69"/>
        <v>0</v>
      </c>
      <c r="AJ26" s="53">
        <f t="shared" si="69"/>
        <v>0</v>
      </c>
      <c r="AK26" s="53">
        <f t="shared" si="69"/>
        <v>0</v>
      </c>
      <c r="AL26" s="53">
        <f t="shared" si="69"/>
        <v>0</v>
      </c>
      <c r="AM26" s="53">
        <f t="shared" ref="AM26:BM26" si="70">$F$23-AM25</f>
        <v>0</v>
      </c>
      <c r="AN26" s="53">
        <f t="shared" si="70"/>
        <v>0</v>
      </c>
      <c r="AO26" s="53">
        <f t="shared" si="70"/>
        <v>0</v>
      </c>
      <c r="AP26" s="53">
        <f t="shared" si="70"/>
        <v>0</v>
      </c>
      <c r="AQ26" s="53">
        <f t="shared" si="70"/>
        <v>0</v>
      </c>
      <c r="AR26" s="53">
        <f t="shared" si="70"/>
        <v>0</v>
      </c>
      <c r="AS26" s="53">
        <f t="shared" si="70"/>
        <v>0</v>
      </c>
      <c r="AT26" s="53">
        <f t="shared" si="70"/>
        <v>0</v>
      </c>
      <c r="AU26" s="53">
        <f t="shared" si="70"/>
        <v>0</v>
      </c>
      <c r="AV26" s="53">
        <f t="shared" si="70"/>
        <v>0</v>
      </c>
      <c r="AW26" s="53">
        <f t="shared" si="70"/>
        <v>0</v>
      </c>
      <c r="AX26" s="53">
        <f t="shared" si="70"/>
        <v>0</v>
      </c>
      <c r="AY26" s="53">
        <f t="shared" si="70"/>
        <v>0</v>
      </c>
      <c r="AZ26" s="53">
        <f t="shared" si="70"/>
        <v>0</v>
      </c>
      <c r="BA26" s="53">
        <f t="shared" si="70"/>
        <v>0</v>
      </c>
      <c r="BB26" s="53">
        <f t="shared" si="70"/>
        <v>0</v>
      </c>
      <c r="BC26" s="53">
        <f t="shared" si="70"/>
        <v>0</v>
      </c>
      <c r="BD26" s="53">
        <f t="shared" si="70"/>
        <v>0</v>
      </c>
      <c r="BE26" s="53">
        <f t="shared" si="70"/>
        <v>0</v>
      </c>
      <c r="BF26" s="53">
        <f t="shared" si="70"/>
        <v>0</v>
      </c>
      <c r="BG26" s="53">
        <f t="shared" si="70"/>
        <v>0</v>
      </c>
      <c r="BH26" s="53">
        <f t="shared" si="70"/>
        <v>0</v>
      </c>
      <c r="BI26" s="53">
        <f t="shared" si="70"/>
        <v>0</v>
      </c>
      <c r="BJ26" s="53">
        <f t="shared" si="70"/>
        <v>0</v>
      </c>
      <c r="BK26" s="53">
        <f t="shared" si="70"/>
        <v>0</v>
      </c>
      <c r="BL26" s="53">
        <f t="shared" si="70"/>
        <v>0</v>
      </c>
      <c r="BM26" s="53">
        <f t="shared" si="70"/>
        <v>0</v>
      </c>
    </row>
    <row r="27" spans="1:65" s="10" customFormat="1" ht="12" customHeight="1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10" customFormat="1">
      <c r="A28" s="168"/>
      <c r="B28" s="168"/>
      <c r="C28" s="168"/>
    </row>
    <row r="29" spans="1:65" s="10" customFormat="1">
      <c r="A29" s="387"/>
      <c r="B29" s="387"/>
      <c r="C29" s="387"/>
    </row>
    <row r="30" spans="1:65" s="10" customFormat="1">
      <c r="A30" s="171"/>
      <c r="B30" s="171"/>
      <c r="C30" s="171"/>
    </row>
    <row r="31" spans="1:65" s="10" customFormat="1">
      <c r="A31" s="171"/>
      <c r="B31" s="171"/>
      <c r="C31" s="171"/>
    </row>
    <row r="32" spans="1:65" s="10" customFormat="1">
      <c r="A32" s="171"/>
      <c r="B32" s="171"/>
      <c r="C32" s="171"/>
    </row>
    <row r="33" spans="1:3" s="10" customFormat="1">
      <c r="A33" s="388"/>
      <c r="B33" s="388"/>
      <c r="C33" s="388"/>
    </row>
  </sheetData>
  <mergeCells count="14">
    <mergeCell ref="F21:Q21"/>
    <mergeCell ref="A21:C21"/>
    <mergeCell ref="A22:C22"/>
    <mergeCell ref="A3:C3"/>
    <mergeCell ref="A4:C4"/>
    <mergeCell ref="F3:Q3"/>
    <mergeCell ref="R3:AC3"/>
    <mergeCell ref="AD3:AO3"/>
    <mergeCell ref="AP3:BA3"/>
    <mergeCell ref="BB3:BM3"/>
    <mergeCell ref="R21:AC21"/>
    <mergeCell ref="AD21:AO21"/>
    <mergeCell ref="AP21:BA21"/>
    <mergeCell ref="BB21:BM21"/>
  </mergeCells>
  <phoneticPr fontId="5" type="noConversion"/>
  <pageMargins left="0.25" right="0.25" top="0.71" bottom="1" header="0.5" footer="0.5"/>
  <pageSetup orientation="landscape"/>
  <ignoredErrors>
    <ignoredError sqref="C12:C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6598F-FE81-7C4F-81AD-D90EB72E4F43}">
  <sheetPr>
    <tabColor theme="7"/>
  </sheetPr>
  <dimension ref="A1:BO30"/>
  <sheetViews>
    <sheetView showGridLines="0" zoomScaleNormal="100" workbookViewId="0"/>
  </sheetViews>
  <sheetFormatPr baseColWidth="10" defaultColWidth="11.5" defaultRowHeight="13"/>
  <cols>
    <col min="1" max="1" width="3.33203125" customWidth="1"/>
    <col min="2" max="2" width="21.1640625" customWidth="1"/>
  </cols>
  <sheetData>
    <row r="1" spans="1:65" s="144" customFormat="1" ht="20">
      <c r="A1" s="125" t="s">
        <v>256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371"/>
      <c r="BJ1" s="371"/>
      <c r="BK1" s="371"/>
      <c r="BL1" s="371"/>
      <c r="BM1" s="371"/>
    </row>
    <row r="3" spans="1:65" s="10" customFormat="1" ht="14">
      <c r="A3" s="133"/>
      <c r="B3" s="133"/>
      <c r="C3" s="133"/>
      <c r="D3" s="133"/>
      <c r="E3" s="133"/>
      <c r="F3" s="535">
        <f>'2) Assumptions'!$D$2</f>
        <v>45261</v>
      </c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>
        <f>'2) Assumptions'!$E$2</f>
        <v>45627</v>
      </c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>
        <f>'2) Assumptions'!$F$2</f>
        <v>45992</v>
      </c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>
        <f>'2) Assumptions'!$G$2</f>
        <v>46357</v>
      </c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  <c r="BB3" s="535">
        <f>'2) Assumptions'!$H$2</f>
        <v>46722</v>
      </c>
      <c r="BC3" s="535"/>
      <c r="BD3" s="535"/>
      <c r="BE3" s="535"/>
      <c r="BF3" s="535"/>
      <c r="BG3" s="535"/>
      <c r="BH3" s="535"/>
      <c r="BI3" s="535"/>
      <c r="BJ3" s="535"/>
      <c r="BK3" s="535"/>
      <c r="BL3" s="535"/>
      <c r="BM3" s="535"/>
    </row>
    <row r="4" spans="1:65" s="10" customFormat="1" ht="14">
      <c r="A4" s="134"/>
      <c r="B4" s="134"/>
      <c r="C4" s="134"/>
      <c r="D4" s="134"/>
      <c r="E4" s="134"/>
      <c r="F4" s="135">
        <f>EDATE('2) Assumptions'!$D$5,0)</f>
        <v>44927</v>
      </c>
      <c r="G4" s="135">
        <f>EDATE('2) Assumptions'!$D$5,1)</f>
        <v>44958</v>
      </c>
      <c r="H4" s="135">
        <f>EDATE('2) Assumptions'!$D$5,2)</f>
        <v>44986</v>
      </c>
      <c r="I4" s="135">
        <f>EDATE('2) Assumptions'!$D$5,3)</f>
        <v>45017</v>
      </c>
      <c r="J4" s="135">
        <f>EDATE('2) Assumptions'!$D$5,4)</f>
        <v>45047</v>
      </c>
      <c r="K4" s="135">
        <f>EDATE('2) Assumptions'!$D$5,5)</f>
        <v>45078</v>
      </c>
      <c r="L4" s="135">
        <f>EDATE('2) Assumptions'!$D$5,6)</f>
        <v>45108</v>
      </c>
      <c r="M4" s="135">
        <f>EDATE('2) Assumptions'!$D$5,7)</f>
        <v>45139</v>
      </c>
      <c r="N4" s="135">
        <f>EDATE('2) Assumptions'!$D$5,8)</f>
        <v>45170</v>
      </c>
      <c r="O4" s="135">
        <f>EDATE('2) Assumptions'!$D$5,9)</f>
        <v>45200</v>
      </c>
      <c r="P4" s="135">
        <f>EDATE('2) Assumptions'!$D$5,10)</f>
        <v>45231</v>
      </c>
      <c r="Q4" s="135">
        <f>EDATE('2) Assumptions'!$D$5,11)</f>
        <v>45261</v>
      </c>
      <c r="R4" s="135">
        <f t="shared" ref="R4:AC4" si="0">F4</f>
        <v>44927</v>
      </c>
      <c r="S4" s="135">
        <f t="shared" si="0"/>
        <v>44958</v>
      </c>
      <c r="T4" s="135">
        <f t="shared" si="0"/>
        <v>44986</v>
      </c>
      <c r="U4" s="135">
        <f t="shared" si="0"/>
        <v>45017</v>
      </c>
      <c r="V4" s="135">
        <f t="shared" si="0"/>
        <v>45047</v>
      </c>
      <c r="W4" s="135">
        <f t="shared" si="0"/>
        <v>45078</v>
      </c>
      <c r="X4" s="135">
        <f t="shared" si="0"/>
        <v>45108</v>
      </c>
      <c r="Y4" s="135">
        <f t="shared" si="0"/>
        <v>45139</v>
      </c>
      <c r="Z4" s="135">
        <f t="shared" si="0"/>
        <v>45170</v>
      </c>
      <c r="AA4" s="135">
        <f t="shared" si="0"/>
        <v>45200</v>
      </c>
      <c r="AB4" s="135">
        <f t="shared" si="0"/>
        <v>45231</v>
      </c>
      <c r="AC4" s="135">
        <f t="shared" si="0"/>
        <v>45261</v>
      </c>
      <c r="AD4" s="135">
        <f>EDATE('2) Assumptions'!$D$5,0)</f>
        <v>44927</v>
      </c>
      <c r="AE4" s="135">
        <f>EDATE('2) Assumptions'!$D$5,1)</f>
        <v>44958</v>
      </c>
      <c r="AF4" s="135">
        <f>EDATE('2) Assumptions'!$D$5,2)</f>
        <v>44986</v>
      </c>
      <c r="AG4" s="135">
        <f>EDATE('2) Assumptions'!$D$5,3)</f>
        <v>45017</v>
      </c>
      <c r="AH4" s="135">
        <f>EDATE('2) Assumptions'!$D$5,4)</f>
        <v>45047</v>
      </c>
      <c r="AI4" s="135">
        <f>EDATE('2) Assumptions'!$D$5,5)</f>
        <v>45078</v>
      </c>
      <c r="AJ4" s="135">
        <f>EDATE('2) Assumptions'!$D$5,6)</f>
        <v>45108</v>
      </c>
      <c r="AK4" s="135">
        <f>EDATE('2) Assumptions'!$D$5,7)</f>
        <v>45139</v>
      </c>
      <c r="AL4" s="135">
        <f>EDATE('2) Assumptions'!$D$5,8)</f>
        <v>45170</v>
      </c>
      <c r="AM4" s="135">
        <f>EDATE('2) Assumptions'!$D$5,9)</f>
        <v>45200</v>
      </c>
      <c r="AN4" s="135">
        <f>EDATE('2) Assumptions'!$D$5,10)</f>
        <v>45231</v>
      </c>
      <c r="AO4" s="135">
        <f>EDATE('2) Assumptions'!$D$5,11)</f>
        <v>45261</v>
      </c>
      <c r="AP4" s="135">
        <f t="shared" ref="AP4:BA4" si="1">AD4</f>
        <v>44927</v>
      </c>
      <c r="AQ4" s="135">
        <f t="shared" si="1"/>
        <v>44958</v>
      </c>
      <c r="AR4" s="135">
        <f t="shared" si="1"/>
        <v>44986</v>
      </c>
      <c r="AS4" s="135">
        <f t="shared" si="1"/>
        <v>45017</v>
      </c>
      <c r="AT4" s="135">
        <f t="shared" si="1"/>
        <v>45047</v>
      </c>
      <c r="AU4" s="135">
        <f t="shared" si="1"/>
        <v>45078</v>
      </c>
      <c r="AV4" s="135">
        <f t="shared" si="1"/>
        <v>45108</v>
      </c>
      <c r="AW4" s="135">
        <f t="shared" si="1"/>
        <v>45139</v>
      </c>
      <c r="AX4" s="135">
        <f t="shared" si="1"/>
        <v>45170</v>
      </c>
      <c r="AY4" s="135">
        <f t="shared" si="1"/>
        <v>45200</v>
      </c>
      <c r="AZ4" s="135">
        <f t="shared" si="1"/>
        <v>45231</v>
      </c>
      <c r="BA4" s="135">
        <f t="shared" si="1"/>
        <v>45261</v>
      </c>
      <c r="BB4" s="135">
        <f>EDATE('2) Assumptions'!$D$5,0)</f>
        <v>44927</v>
      </c>
      <c r="BC4" s="135">
        <f>EDATE('2) Assumptions'!$D$5,1)</f>
        <v>44958</v>
      </c>
      <c r="BD4" s="135">
        <f>EDATE('2) Assumptions'!$D$5,2)</f>
        <v>44986</v>
      </c>
      <c r="BE4" s="135">
        <f>EDATE('2) Assumptions'!$D$5,3)</f>
        <v>45017</v>
      </c>
      <c r="BF4" s="135">
        <f>EDATE('2) Assumptions'!$D$5,4)</f>
        <v>45047</v>
      </c>
      <c r="BG4" s="135">
        <f>EDATE('2) Assumptions'!$D$5,5)</f>
        <v>45078</v>
      </c>
      <c r="BH4" s="135">
        <f>EDATE('2) Assumptions'!$D$5,6)</f>
        <v>45108</v>
      </c>
      <c r="BI4" s="135">
        <f>EDATE('2) Assumptions'!$D$5,7)</f>
        <v>45139</v>
      </c>
      <c r="BJ4" s="135">
        <f>EDATE('2) Assumptions'!$D$5,8)</f>
        <v>45170</v>
      </c>
      <c r="BK4" s="135">
        <f>EDATE('2) Assumptions'!$D$5,9)</f>
        <v>45200</v>
      </c>
      <c r="BL4" s="135">
        <f>EDATE('2) Assumptions'!$D$5,10)</f>
        <v>45231</v>
      </c>
      <c r="BM4" s="135">
        <f>EDATE('2) Assumptions'!$D$5,11)</f>
        <v>45261</v>
      </c>
    </row>
    <row r="5" spans="1:65" s="10" customFormat="1" ht="14">
      <c r="A5" s="64" t="s">
        <v>193</v>
      </c>
      <c r="B5" s="356"/>
      <c r="C5" s="356"/>
      <c r="D5" s="356"/>
      <c r="E5" s="35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5" s="10" customFormat="1" ht="14">
      <c r="A6" s="109"/>
      <c r="B6" s="372" t="s">
        <v>122</v>
      </c>
      <c r="C6" s="372"/>
      <c r="D6" s="372"/>
      <c r="E6" s="372"/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</row>
    <row r="7" spans="1:65" s="10" customFormat="1" ht="14">
      <c r="A7" s="109"/>
      <c r="B7" s="372" t="s">
        <v>123</v>
      </c>
      <c r="C7" s="372"/>
      <c r="D7" s="372"/>
      <c r="E7" s="372"/>
      <c r="F7" s="19">
        <v>30000000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</row>
    <row r="8" spans="1:65" s="10" customFormat="1" ht="14" hidden="1">
      <c r="A8" s="109"/>
      <c r="B8" s="372" t="s">
        <v>257</v>
      </c>
      <c r="C8" s="372"/>
      <c r="D8" s="372"/>
      <c r="E8" s="372"/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</row>
    <row r="9" spans="1:65" s="10" customFormat="1" ht="14" hidden="1">
      <c r="A9" s="109"/>
      <c r="B9" s="372" t="s">
        <v>258</v>
      </c>
      <c r="C9" s="372"/>
      <c r="D9" s="372"/>
      <c r="E9" s="372"/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</row>
    <row r="10" spans="1:65" s="10" customFormat="1" ht="14">
      <c r="A10" s="373" t="s">
        <v>260</v>
      </c>
      <c r="B10" s="374"/>
      <c r="C10" s="374"/>
      <c r="D10" s="374"/>
      <c r="E10" s="374"/>
      <c r="F10" s="375">
        <f>SUM(F6:F9)</f>
        <v>30000000</v>
      </c>
      <c r="G10" s="375">
        <f t="shared" ref="G10:BM10" si="2">SUM(G6:G9)</f>
        <v>0</v>
      </c>
      <c r="H10" s="375">
        <f t="shared" si="2"/>
        <v>0</v>
      </c>
      <c r="I10" s="375">
        <f t="shared" si="2"/>
        <v>0</v>
      </c>
      <c r="J10" s="375">
        <f t="shared" si="2"/>
        <v>0</v>
      </c>
      <c r="K10" s="375">
        <f t="shared" si="2"/>
        <v>0</v>
      </c>
      <c r="L10" s="375">
        <f t="shared" si="2"/>
        <v>0</v>
      </c>
      <c r="M10" s="375">
        <f t="shared" si="2"/>
        <v>0</v>
      </c>
      <c r="N10" s="375">
        <f t="shared" si="2"/>
        <v>0</v>
      </c>
      <c r="O10" s="375">
        <f t="shared" si="2"/>
        <v>0</v>
      </c>
      <c r="P10" s="375">
        <f t="shared" si="2"/>
        <v>0</v>
      </c>
      <c r="Q10" s="375">
        <f t="shared" si="2"/>
        <v>0</v>
      </c>
      <c r="R10" s="375">
        <f t="shared" si="2"/>
        <v>0</v>
      </c>
      <c r="S10" s="375">
        <f t="shared" si="2"/>
        <v>0</v>
      </c>
      <c r="T10" s="375">
        <f t="shared" si="2"/>
        <v>0</v>
      </c>
      <c r="U10" s="375">
        <f t="shared" si="2"/>
        <v>0</v>
      </c>
      <c r="V10" s="375">
        <f t="shared" si="2"/>
        <v>0</v>
      </c>
      <c r="W10" s="375">
        <f t="shared" si="2"/>
        <v>0</v>
      </c>
      <c r="X10" s="375">
        <f t="shared" si="2"/>
        <v>0</v>
      </c>
      <c r="Y10" s="375">
        <f t="shared" si="2"/>
        <v>0</v>
      </c>
      <c r="Z10" s="375">
        <f t="shared" si="2"/>
        <v>0</v>
      </c>
      <c r="AA10" s="375">
        <f t="shared" si="2"/>
        <v>0</v>
      </c>
      <c r="AB10" s="375">
        <f t="shared" si="2"/>
        <v>0</v>
      </c>
      <c r="AC10" s="375">
        <f t="shared" si="2"/>
        <v>0</v>
      </c>
      <c r="AD10" s="375">
        <f t="shared" si="2"/>
        <v>0</v>
      </c>
      <c r="AE10" s="375">
        <f t="shared" si="2"/>
        <v>0</v>
      </c>
      <c r="AF10" s="375">
        <f t="shared" si="2"/>
        <v>0</v>
      </c>
      <c r="AG10" s="375">
        <f t="shared" si="2"/>
        <v>0</v>
      </c>
      <c r="AH10" s="375">
        <f t="shared" si="2"/>
        <v>0</v>
      </c>
      <c r="AI10" s="375">
        <f t="shared" si="2"/>
        <v>0</v>
      </c>
      <c r="AJ10" s="375">
        <f t="shared" si="2"/>
        <v>0</v>
      </c>
      <c r="AK10" s="375">
        <f t="shared" si="2"/>
        <v>0</v>
      </c>
      <c r="AL10" s="375">
        <f t="shared" si="2"/>
        <v>0</v>
      </c>
      <c r="AM10" s="375">
        <f t="shared" si="2"/>
        <v>0</v>
      </c>
      <c r="AN10" s="375">
        <f t="shared" si="2"/>
        <v>0</v>
      </c>
      <c r="AO10" s="375">
        <f t="shared" si="2"/>
        <v>0</v>
      </c>
      <c r="AP10" s="375">
        <f t="shared" si="2"/>
        <v>0</v>
      </c>
      <c r="AQ10" s="375">
        <f t="shared" si="2"/>
        <v>0</v>
      </c>
      <c r="AR10" s="375">
        <f t="shared" si="2"/>
        <v>0</v>
      </c>
      <c r="AS10" s="375">
        <f t="shared" si="2"/>
        <v>0</v>
      </c>
      <c r="AT10" s="375">
        <f t="shared" si="2"/>
        <v>0</v>
      </c>
      <c r="AU10" s="375">
        <f t="shared" si="2"/>
        <v>0</v>
      </c>
      <c r="AV10" s="375">
        <f t="shared" si="2"/>
        <v>0</v>
      </c>
      <c r="AW10" s="375">
        <f t="shared" si="2"/>
        <v>0</v>
      </c>
      <c r="AX10" s="375">
        <f t="shared" si="2"/>
        <v>0</v>
      </c>
      <c r="AY10" s="375">
        <f t="shared" si="2"/>
        <v>0</v>
      </c>
      <c r="AZ10" s="375">
        <f t="shared" si="2"/>
        <v>0</v>
      </c>
      <c r="BA10" s="375">
        <f t="shared" si="2"/>
        <v>0</v>
      </c>
      <c r="BB10" s="375">
        <f t="shared" si="2"/>
        <v>0</v>
      </c>
      <c r="BC10" s="375">
        <f t="shared" si="2"/>
        <v>0</v>
      </c>
      <c r="BD10" s="375">
        <f t="shared" si="2"/>
        <v>0</v>
      </c>
      <c r="BE10" s="375">
        <f t="shared" si="2"/>
        <v>0</v>
      </c>
      <c r="BF10" s="375">
        <f t="shared" si="2"/>
        <v>0</v>
      </c>
      <c r="BG10" s="375">
        <f t="shared" si="2"/>
        <v>0</v>
      </c>
      <c r="BH10" s="375">
        <f t="shared" si="2"/>
        <v>0</v>
      </c>
      <c r="BI10" s="375">
        <f t="shared" si="2"/>
        <v>0</v>
      </c>
      <c r="BJ10" s="375">
        <f t="shared" si="2"/>
        <v>0</v>
      </c>
      <c r="BK10" s="375">
        <f t="shared" si="2"/>
        <v>0</v>
      </c>
      <c r="BL10" s="375">
        <f t="shared" si="2"/>
        <v>0</v>
      </c>
      <c r="BM10" s="375">
        <f t="shared" si="2"/>
        <v>0</v>
      </c>
    </row>
    <row r="11" spans="1:65" s="10" customFormat="1" ht="14" hidden="1">
      <c r="A11" s="109"/>
      <c r="B11" s="372"/>
      <c r="C11" s="372"/>
      <c r="D11" s="372"/>
      <c r="E11" s="37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65" s="10" customFormat="1" ht="14" hidden="1">
      <c r="A12" s="64" t="s">
        <v>259</v>
      </c>
      <c r="B12" s="356"/>
      <c r="C12" s="356"/>
      <c r="D12" s="356"/>
      <c r="E12" s="356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 s="10" customFormat="1" ht="14" hidden="1">
      <c r="A13" s="109"/>
      <c r="B13" s="372" t="s">
        <v>122</v>
      </c>
      <c r="C13" s="372"/>
      <c r="D13" s="372"/>
      <c r="E13" s="372"/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</row>
    <row r="14" spans="1:65" s="10" customFormat="1" ht="14" hidden="1">
      <c r="A14" s="109"/>
      <c r="B14" s="372" t="s">
        <v>123</v>
      </c>
      <c r="C14" s="372"/>
      <c r="D14" s="372"/>
      <c r="E14" s="372"/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</row>
    <row r="15" spans="1:65" s="10" customFormat="1" ht="14" hidden="1">
      <c r="A15" s="109"/>
      <c r="B15" s="372" t="s">
        <v>257</v>
      </c>
      <c r="C15" s="372"/>
      <c r="D15" s="372"/>
      <c r="E15" s="372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</row>
    <row r="16" spans="1:65" s="10" customFormat="1" ht="14" hidden="1">
      <c r="A16" s="109"/>
      <c r="B16" s="372" t="s">
        <v>258</v>
      </c>
      <c r="C16" s="372"/>
      <c r="D16" s="372"/>
      <c r="E16" s="372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</row>
    <row r="17" spans="1:67" s="10" customFormat="1" ht="14" hidden="1">
      <c r="A17" s="373" t="s">
        <v>261</v>
      </c>
      <c r="B17" s="374"/>
      <c r="C17" s="374"/>
      <c r="D17" s="374"/>
      <c r="E17" s="374"/>
      <c r="F17" s="375">
        <f>SUM(F13:F16)</f>
        <v>0</v>
      </c>
      <c r="G17" s="375">
        <f t="shared" ref="G17" si="3">SUM(G13:G16)</f>
        <v>0</v>
      </c>
      <c r="H17" s="375">
        <f t="shared" ref="H17" si="4">SUM(H13:H16)</f>
        <v>0</v>
      </c>
      <c r="I17" s="375">
        <f t="shared" ref="I17" si="5">SUM(I13:I16)</f>
        <v>0</v>
      </c>
      <c r="J17" s="375">
        <f t="shared" ref="J17" si="6">SUM(J13:J16)</f>
        <v>0</v>
      </c>
      <c r="K17" s="375">
        <f t="shared" ref="K17" si="7">SUM(K13:K16)</f>
        <v>0</v>
      </c>
      <c r="L17" s="375">
        <f t="shared" ref="L17" si="8">SUM(L13:L16)</f>
        <v>0</v>
      </c>
      <c r="M17" s="375">
        <f t="shared" ref="M17" si="9">SUM(M13:M16)</f>
        <v>0</v>
      </c>
      <c r="N17" s="375">
        <f t="shared" ref="N17" si="10">SUM(N13:N16)</f>
        <v>0</v>
      </c>
      <c r="O17" s="375">
        <f t="shared" ref="O17" si="11">SUM(O13:O16)</f>
        <v>0</v>
      </c>
      <c r="P17" s="375">
        <f t="shared" ref="P17" si="12">SUM(P13:P16)</f>
        <v>0</v>
      </c>
      <c r="Q17" s="375">
        <f t="shared" ref="Q17" si="13">SUM(Q13:Q16)</f>
        <v>0</v>
      </c>
      <c r="R17" s="375">
        <f t="shared" ref="R17" si="14">SUM(R13:R16)</f>
        <v>0</v>
      </c>
      <c r="S17" s="375">
        <f t="shared" ref="S17" si="15">SUM(S13:S16)</f>
        <v>0</v>
      </c>
      <c r="T17" s="375">
        <f t="shared" ref="T17" si="16">SUM(T13:T16)</f>
        <v>0</v>
      </c>
      <c r="U17" s="375">
        <f t="shared" ref="U17" si="17">SUM(U13:U16)</f>
        <v>0</v>
      </c>
      <c r="V17" s="375">
        <f t="shared" ref="V17" si="18">SUM(V13:V16)</f>
        <v>0</v>
      </c>
      <c r="W17" s="375">
        <f t="shared" ref="W17" si="19">SUM(W13:W16)</f>
        <v>0</v>
      </c>
      <c r="X17" s="375">
        <f t="shared" ref="X17" si="20">SUM(X13:X16)</f>
        <v>0</v>
      </c>
      <c r="Y17" s="375">
        <f t="shared" ref="Y17" si="21">SUM(Y13:Y16)</f>
        <v>0</v>
      </c>
      <c r="Z17" s="375">
        <f t="shared" ref="Z17" si="22">SUM(Z13:Z16)</f>
        <v>0</v>
      </c>
      <c r="AA17" s="375">
        <f t="shared" ref="AA17" si="23">SUM(AA13:AA16)</f>
        <v>0</v>
      </c>
      <c r="AB17" s="375">
        <f t="shared" ref="AB17" si="24">SUM(AB13:AB16)</f>
        <v>0</v>
      </c>
      <c r="AC17" s="375">
        <f t="shared" ref="AC17" si="25">SUM(AC13:AC16)</f>
        <v>0</v>
      </c>
      <c r="AD17" s="375">
        <f t="shared" ref="AD17" si="26">SUM(AD13:AD16)</f>
        <v>0</v>
      </c>
      <c r="AE17" s="375">
        <f t="shared" ref="AE17" si="27">SUM(AE13:AE16)</f>
        <v>0</v>
      </c>
      <c r="AF17" s="375">
        <f t="shared" ref="AF17" si="28">SUM(AF13:AF16)</f>
        <v>0</v>
      </c>
      <c r="AG17" s="375">
        <f t="shared" ref="AG17" si="29">SUM(AG13:AG16)</f>
        <v>0</v>
      </c>
      <c r="AH17" s="375">
        <f t="shared" ref="AH17" si="30">SUM(AH13:AH16)</f>
        <v>0</v>
      </c>
      <c r="AI17" s="375">
        <f t="shared" ref="AI17" si="31">SUM(AI13:AI16)</f>
        <v>0</v>
      </c>
      <c r="AJ17" s="375">
        <f t="shared" ref="AJ17" si="32">SUM(AJ13:AJ16)</f>
        <v>0</v>
      </c>
      <c r="AK17" s="375">
        <f t="shared" ref="AK17" si="33">SUM(AK13:AK16)</f>
        <v>0</v>
      </c>
      <c r="AL17" s="375">
        <f t="shared" ref="AL17" si="34">SUM(AL13:AL16)</f>
        <v>0</v>
      </c>
      <c r="AM17" s="375">
        <f t="shared" ref="AM17" si="35">SUM(AM13:AM16)</f>
        <v>0</v>
      </c>
      <c r="AN17" s="375">
        <f t="shared" ref="AN17" si="36">SUM(AN13:AN16)</f>
        <v>0</v>
      </c>
      <c r="AO17" s="375">
        <f t="shared" ref="AO17" si="37">SUM(AO13:AO16)</f>
        <v>0</v>
      </c>
      <c r="AP17" s="375">
        <f t="shared" ref="AP17" si="38">SUM(AP13:AP16)</f>
        <v>0</v>
      </c>
      <c r="AQ17" s="375">
        <f t="shared" ref="AQ17" si="39">SUM(AQ13:AQ16)</f>
        <v>0</v>
      </c>
      <c r="AR17" s="375">
        <f t="shared" ref="AR17" si="40">SUM(AR13:AR16)</f>
        <v>0</v>
      </c>
      <c r="AS17" s="375">
        <f t="shared" ref="AS17" si="41">SUM(AS13:AS16)</f>
        <v>0</v>
      </c>
      <c r="AT17" s="375">
        <f t="shared" ref="AT17" si="42">SUM(AT13:AT16)</f>
        <v>0</v>
      </c>
      <c r="AU17" s="375">
        <f t="shared" ref="AU17" si="43">SUM(AU13:AU16)</f>
        <v>0</v>
      </c>
      <c r="AV17" s="375">
        <f t="shared" ref="AV17" si="44">SUM(AV13:AV16)</f>
        <v>0</v>
      </c>
      <c r="AW17" s="375">
        <f t="shared" ref="AW17" si="45">SUM(AW13:AW16)</f>
        <v>0</v>
      </c>
      <c r="AX17" s="375">
        <f t="shared" ref="AX17" si="46">SUM(AX13:AX16)</f>
        <v>0</v>
      </c>
      <c r="AY17" s="375">
        <f t="shared" ref="AY17" si="47">SUM(AY13:AY16)</f>
        <v>0</v>
      </c>
      <c r="AZ17" s="375">
        <f t="shared" ref="AZ17" si="48">SUM(AZ13:AZ16)</f>
        <v>0</v>
      </c>
      <c r="BA17" s="375">
        <f t="shared" ref="BA17" si="49">SUM(BA13:BA16)</f>
        <v>0</v>
      </c>
      <c r="BB17" s="375">
        <f t="shared" ref="BB17" si="50">SUM(BB13:BB16)</f>
        <v>0</v>
      </c>
      <c r="BC17" s="375">
        <f t="shared" ref="BC17" si="51">SUM(BC13:BC16)</f>
        <v>0</v>
      </c>
      <c r="BD17" s="375">
        <f t="shared" ref="BD17" si="52">SUM(BD13:BD16)</f>
        <v>0</v>
      </c>
      <c r="BE17" s="375">
        <f t="shared" ref="BE17" si="53">SUM(BE13:BE16)</f>
        <v>0</v>
      </c>
      <c r="BF17" s="375">
        <f t="shared" ref="BF17" si="54">SUM(BF13:BF16)</f>
        <v>0</v>
      </c>
      <c r="BG17" s="375">
        <f t="shared" ref="BG17" si="55">SUM(BG13:BG16)</f>
        <v>0</v>
      </c>
      <c r="BH17" s="375">
        <f t="shared" ref="BH17" si="56">SUM(BH13:BH16)</f>
        <v>0</v>
      </c>
      <c r="BI17" s="375">
        <f t="shared" ref="BI17" si="57">SUM(BI13:BI16)</f>
        <v>0</v>
      </c>
      <c r="BJ17" s="375">
        <f t="shared" ref="BJ17" si="58">SUM(BJ13:BJ16)</f>
        <v>0</v>
      </c>
      <c r="BK17" s="375">
        <f t="shared" ref="BK17" si="59">SUM(BK13:BK16)</f>
        <v>0</v>
      </c>
      <c r="BL17" s="375">
        <f t="shared" ref="BL17" si="60">SUM(BL13:BL16)</f>
        <v>0</v>
      </c>
      <c r="BM17" s="375">
        <f t="shared" ref="BM17" si="61">SUM(BM13:BM16)</f>
        <v>0</v>
      </c>
    </row>
    <row r="19" spans="1:67" ht="20" hidden="1">
      <c r="A19" s="125" t="s">
        <v>136</v>
      </c>
      <c r="B19" s="125"/>
      <c r="C19" s="125"/>
      <c r="D19" s="371"/>
      <c r="E19" s="371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</row>
    <row r="20" spans="1:67" hidden="1"/>
    <row r="21" spans="1:67" ht="14" hidden="1">
      <c r="A21" s="415"/>
      <c r="B21" s="415"/>
      <c r="C21" s="415"/>
      <c r="D21" s="415"/>
      <c r="E21" s="415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39"/>
      <c r="BH21" s="539"/>
      <c r="BI21" s="539"/>
      <c r="BJ21" s="539"/>
      <c r="BK21" s="539"/>
      <c r="BL21" s="539"/>
      <c r="BM21" s="539"/>
      <c r="BN21" s="10"/>
      <c r="BO21" s="10"/>
    </row>
    <row r="22" spans="1:67" ht="14" hidden="1">
      <c r="A22" s="415"/>
      <c r="B22" s="415"/>
      <c r="C22" s="133"/>
      <c r="D22" s="133"/>
      <c r="E22" s="133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  <c r="BL22" s="417"/>
      <c r="BM22" s="417"/>
      <c r="BN22" s="10"/>
      <c r="BO22" s="10"/>
    </row>
    <row r="23" spans="1:67" s="10" customFormat="1" ht="14" hidden="1">
      <c r="A23" s="136"/>
      <c r="B23" s="136"/>
      <c r="C23" s="416" t="s">
        <v>128</v>
      </c>
      <c r="D23" s="416" t="s">
        <v>262</v>
      </c>
      <c r="E23" s="416" t="s">
        <v>267</v>
      </c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8"/>
      <c r="BM23" s="418"/>
    </row>
    <row r="24" spans="1:67" s="10" customFormat="1" ht="14" hidden="1">
      <c r="A24" s="106" t="s">
        <v>132</v>
      </c>
      <c r="B24" s="106"/>
      <c r="C24" s="31">
        <v>0</v>
      </c>
      <c r="D24" s="29">
        <v>1</v>
      </c>
      <c r="E24" s="384"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7" ht="14" hidden="1">
      <c r="A25" s="106" t="s">
        <v>133</v>
      </c>
      <c r="B25" s="377"/>
      <c r="C25" s="31">
        <v>0</v>
      </c>
      <c r="D25" s="29">
        <v>1</v>
      </c>
      <c r="E25" s="384"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7" ht="14" hidden="1">
      <c r="A26" s="106" t="s">
        <v>109</v>
      </c>
      <c r="B26" s="377"/>
      <c r="C26" s="31">
        <v>0</v>
      </c>
      <c r="D26" s="29">
        <v>1</v>
      </c>
      <c r="E26" s="384"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7" ht="14" hidden="1">
      <c r="A27" s="373" t="s">
        <v>273</v>
      </c>
      <c r="B27" s="374"/>
      <c r="C27" s="419"/>
      <c r="D27" s="419"/>
      <c r="E27" s="422">
        <f>SUM(E24:E26)</f>
        <v>0</v>
      </c>
      <c r="F27" s="370"/>
      <c r="G27" s="370"/>
      <c r="H27" s="370"/>
      <c r="I27" s="370"/>
      <c r="J27" s="370"/>
      <c r="K27" s="370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10"/>
      <c r="BO27" s="10"/>
    </row>
    <row r="28" spans="1:67"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1"/>
      <c r="AY28" s="421"/>
      <c r="AZ28" s="421"/>
      <c r="BA28" s="421"/>
      <c r="BB28" s="421"/>
      <c r="BC28" s="421"/>
      <c r="BD28" s="421"/>
      <c r="BE28" s="421"/>
      <c r="BF28" s="421"/>
      <c r="BG28" s="421"/>
      <c r="BH28" s="421"/>
      <c r="BI28" s="421"/>
      <c r="BJ28" s="421"/>
      <c r="BK28" s="421"/>
      <c r="BL28" s="421"/>
      <c r="BM28" s="421"/>
    </row>
    <row r="29" spans="1:67"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</row>
    <row r="30" spans="1:67"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421"/>
      <c r="BF30" s="421"/>
      <c r="BG30" s="421"/>
      <c r="BH30" s="421"/>
      <c r="BI30" s="421"/>
      <c r="BJ30" s="421"/>
      <c r="BK30" s="421"/>
      <c r="BL30" s="421"/>
      <c r="BM30" s="421"/>
    </row>
  </sheetData>
  <mergeCells count="10">
    <mergeCell ref="F3:Q3"/>
    <mergeCell ref="R3:AC3"/>
    <mergeCell ref="AD3:AO3"/>
    <mergeCell ref="AP3:BA3"/>
    <mergeCell ref="BB3:BM3"/>
    <mergeCell ref="F21:Q21"/>
    <mergeCell ref="R21:AC21"/>
    <mergeCell ref="AD21:AO21"/>
    <mergeCell ref="AP21:BA21"/>
    <mergeCell ref="BB21:BM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F33A-5FD0-D044-99DB-8BA49302F6D6}">
  <sheetPr>
    <tabColor theme="7"/>
  </sheetPr>
  <dimension ref="A1:R26"/>
  <sheetViews>
    <sheetView showGridLines="0" zoomScaleNormal="100" workbookViewId="0">
      <selection sqref="A1:L1"/>
    </sheetView>
  </sheetViews>
  <sheetFormatPr baseColWidth="10" defaultColWidth="10.83203125" defaultRowHeight="14"/>
  <cols>
    <col min="1" max="1" width="3.33203125" style="6" customWidth="1"/>
    <col min="2" max="2" width="26.1640625" style="6" bestFit="1" customWidth="1"/>
    <col min="3" max="3" width="13.33203125" style="6" customWidth="1"/>
    <col min="4" max="5" width="3.33203125" style="6" customWidth="1"/>
    <col min="6" max="6" width="26.6640625" style="6" bestFit="1" customWidth="1"/>
    <col min="7" max="7" width="13.33203125" style="6" customWidth="1"/>
    <col min="8" max="8" width="3.33203125" style="6" customWidth="1"/>
    <col min="9" max="9" width="3.1640625" style="6" customWidth="1"/>
    <col min="10" max="10" width="3.33203125" style="6" customWidth="1"/>
    <col min="11" max="11" width="16.83203125" style="6" customWidth="1"/>
    <col min="12" max="12" width="13.33203125" style="6" customWidth="1"/>
    <col min="13" max="13" width="3.33203125" style="6" customWidth="1"/>
    <col min="14" max="14" width="23.33203125" style="6" customWidth="1"/>
    <col min="15" max="15" width="13.33203125" style="6" customWidth="1"/>
    <col min="16" max="16" width="3.33203125" style="6" customWidth="1"/>
    <col min="17" max="17" width="23.33203125" style="6" customWidth="1"/>
    <col min="18" max="18" width="13.33203125" style="6" customWidth="1"/>
    <col min="19" max="16384" width="10.83203125" style="6"/>
  </cols>
  <sheetData>
    <row r="1" spans="1:18" ht="20" customHeight="1">
      <c r="A1" s="540" t="s">
        <v>100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8"/>
      <c r="N1" s="8"/>
      <c r="O1" s="8"/>
      <c r="P1" s="8"/>
      <c r="Q1" s="8"/>
      <c r="R1" s="8"/>
    </row>
    <row r="2" spans="1:18" ht="14" customHeight="1"/>
    <row r="3" spans="1:18" ht="14" customHeight="1">
      <c r="A3" s="122" t="s">
        <v>101</v>
      </c>
      <c r="B3" s="123"/>
      <c r="C3" s="12"/>
      <c r="D3" s="12"/>
      <c r="E3" s="122" t="s">
        <v>103</v>
      </c>
      <c r="F3" s="123"/>
      <c r="G3" s="11"/>
      <c r="H3" s="10"/>
      <c r="I3" s="122" t="s">
        <v>105</v>
      </c>
      <c r="J3" s="123"/>
      <c r="K3" s="124"/>
      <c r="L3" s="12"/>
    </row>
    <row r="4" spans="1:18" ht="14" customHeight="1">
      <c r="A4" s="106"/>
      <c r="B4" s="153" t="str">
        <f>'5) Amortization of PPE'!A10</f>
        <v>Content Production Equipment</v>
      </c>
      <c r="C4" s="174">
        <f>'5) Amortization of PPE'!B10</f>
        <v>22500000</v>
      </c>
      <c r="D4" s="10"/>
      <c r="E4" s="106"/>
      <c r="F4" s="153" t="s">
        <v>284</v>
      </c>
      <c r="G4" s="174">
        <v>4750000</v>
      </c>
      <c r="H4" s="10"/>
      <c r="I4" s="106"/>
      <c r="J4" s="106" t="s">
        <v>106</v>
      </c>
      <c r="K4" s="104"/>
      <c r="L4" s="174">
        <f>SUM('6) Capital '!F6:Q6)</f>
        <v>0</v>
      </c>
    </row>
    <row r="5" spans="1:18" ht="14" customHeight="1">
      <c r="A5" s="106"/>
      <c r="B5" s="153" t="str">
        <f>'5) Amortization of PPE'!A11</f>
        <v>Software &amp; Technology</v>
      </c>
      <c r="C5" s="174">
        <f>'5) Amortization of PPE'!B11</f>
        <v>2500000</v>
      </c>
      <c r="D5" s="10"/>
      <c r="E5" s="106"/>
      <c r="F5" s="153" t="s">
        <v>285</v>
      </c>
      <c r="G5" s="174">
        <v>250000</v>
      </c>
      <c r="H5" s="10"/>
      <c r="I5" s="106"/>
      <c r="J5" s="106" t="s">
        <v>107</v>
      </c>
      <c r="K5" s="104"/>
      <c r="L5" s="174">
        <f>SUM('6) Capital '!F7:Q7)</f>
        <v>30000000</v>
      </c>
    </row>
    <row r="6" spans="1:18" ht="14" customHeight="1">
      <c r="A6" s="106"/>
      <c r="B6" s="153">
        <f>'5) Amortization of PPE'!A12</f>
        <v>0</v>
      </c>
      <c r="C6" s="174">
        <f>'5) Amortization of PPE'!B12</f>
        <v>0</v>
      </c>
      <c r="D6" s="10"/>
      <c r="E6" s="106"/>
      <c r="F6" s="153"/>
      <c r="G6" s="174"/>
      <c r="H6" s="10"/>
      <c r="I6" s="106"/>
      <c r="J6" s="106" t="s">
        <v>108</v>
      </c>
      <c r="K6" s="104"/>
      <c r="L6" s="176"/>
    </row>
    <row r="7" spans="1:18" ht="14" customHeight="1">
      <c r="A7" s="106"/>
      <c r="B7" s="153">
        <f>'5) Amortization of PPE'!A13</f>
        <v>0</v>
      </c>
      <c r="C7" s="174">
        <f>'5) Amortization of PPE'!B13</f>
        <v>0</v>
      </c>
      <c r="D7" s="10"/>
      <c r="E7" s="106"/>
      <c r="F7" s="153"/>
      <c r="G7" s="174"/>
      <c r="H7" s="10"/>
      <c r="I7" s="106"/>
      <c r="J7" s="106"/>
      <c r="K7" s="106" t="s">
        <v>132</v>
      </c>
      <c r="L7" s="174">
        <f>'6) Capital '!E24</f>
        <v>0</v>
      </c>
      <c r="M7" s="277" t="e">
        <f>#REF!*#REF!</f>
        <v>#REF!</v>
      </c>
    </row>
    <row r="8" spans="1:18" ht="14" customHeight="1">
      <c r="A8" s="106"/>
      <c r="B8" s="153">
        <f>'5) Amortization of PPE'!A14</f>
        <v>0</v>
      </c>
      <c r="C8" s="174">
        <f>'5) Amortization of PPE'!B14</f>
        <v>0</v>
      </c>
      <c r="D8" s="10"/>
      <c r="E8" s="106"/>
      <c r="F8" s="153"/>
      <c r="G8" s="174"/>
      <c r="H8" s="10"/>
      <c r="I8" s="106"/>
      <c r="J8" s="106"/>
      <c r="K8" s="106" t="s">
        <v>133</v>
      </c>
      <c r="L8" s="174">
        <f>'6) Capital '!E25</f>
        <v>0</v>
      </c>
      <c r="M8" s="277" t="e">
        <f>#REF!*#REF!</f>
        <v>#REF!</v>
      </c>
    </row>
    <row r="9" spans="1:18" ht="14" customHeight="1">
      <c r="A9" s="106"/>
      <c r="B9" s="153">
        <f>'5) Amortization of PPE'!A15</f>
        <v>0</v>
      </c>
      <c r="C9" s="174">
        <f>'5) Amortization of PPE'!B15</f>
        <v>0</v>
      </c>
      <c r="E9" s="106"/>
      <c r="F9" s="153"/>
      <c r="G9" s="174"/>
      <c r="H9" s="10"/>
      <c r="I9" s="106"/>
      <c r="J9" s="106"/>
      <c r="K9" s="106" t="s">
        <v>109</v>
      </c>
      <c r="L9" s="174">
        <f>'6) Capital '!E26</f>
        <v>0</v>
      </c>
      <c r="M9" s="277" t="e">
        <f>#REF!*#REF!</f>
        <v>#REF!</v>
      </c>
    </row>
    <row r="10" spans="1:18" ht="14" customHeight="1">
      <c r="A10" s="106"/>
      <c r="B10" s="153">
        <f>'5) Amortization of PPE'!A16</f>
        <v>0</v>
      </c>
      <c r="C10" s="174">
        <f>'5) Amortization of PPE'!B16</f>
        <v>0</v>
      </c>
      <c r="E10" s="106"/>
      <c r="F10" s="153"/>
      <c r="G10" s="174"/>
      <c r="H10" s="10"/>
      <c r="I10" s="112" t="s">
        <v>143</v>
      </c>
      <c r="J10" s="106"/>
      <c r="K10" s="104"/>
      <c r="L10" s="177">
        <f>SUM(L4:L9)</f>
        <v>30000000</v>
      </c>
      <c r="M10" s="278" t="e">
        <f>SUM(M7:M9)</f>
        <v>#REF!</v>
      </c>
    </row>
    <row r="11" spans="1:18" ht="14" hidden="1" customHeight="1">
      <c r="A11" s="106"/>
      <c r="B11" s="153">
        <f>'5) Amortization of PPE'!A17</f>
        <v>0</v>
      </c>
      <c r="C11" s="174">
        <f>'5) Amortization of PPE'!B17</f>
        <v>0</v>
      </c>
      <c r="E11" s="106"/>
      <c r="F11" s="153"/>
      <c r="G11" s="174"/>
      <c r="H11" s="10"/>
      <c r="I11" s="12"/>
      <c r="J11" s="12"/>
      <c r="K11" s="12"/>
      <c r="L11" s="12"/>
    </row>
    <row r="12" spans="1:18" ht="14" hidden="1" customHeight="1">
      <c r="A12" s="106"/>
      <c r="B12" s="153"/>
      <c r="C12" s="174"/>
      <c r="D12" s="8"/>
      <c r="E12" s="106"/>
      <c r="F12" s="153"/>
      <c r="G12" s="174"/>
      <c r="H12" s="10"/>
      <c r="I12" s="10"/>
      <c r="J12" s="10"/>
      <c r="K12" s="10"/>
      <c r="L12" s="10"/>
    </row>
    <row r="13" spans="1:18" ht="14" hidden="1" customHeight="1">
      <c r="A13" s="106"/>
      <c r="B13" s="153"/>
      <c r="C13" s="174"/>
      <c r="D13" s="27"/>
      <c r="E13" s="106"/>
      <c r="F13" s="153"/>
      <c r="G13" s="174"/>
      <c r="H13" s="10"/>
      <c r="I13" s="10"/>
      <c r="J13" s="10"/>
      <c r="K13" s="10"/>
      <c r="L13" s="10"/>
    </row>
    <row r="14" spans="1:18" ht="14" customHeight="1">
      <c r="A14" s="116" t="s">
        <v>102</v>
      </c>
      <c r="B14" s="116"/>
      <c r="C14" s="175">
        <f>SUM(C4:C13)</f>
        <v>25000000</v>
      </c>
      <c r="D14" s="10"/>
      <c r="E14" s="106" t="s">
        <v>104</v>
      </c>
      <c r="F14" s="106"/>
      <c r="G14" s="175">
        <f>SUM(G4:G13)</f>
        <v>5000000</v>
      </c>
      <c r="H14" s="10"/>
      <c r="I14" s="10"/>
      <c r="J14" s="10"/>
      <c r="K14" s="10"/>
      <c r="L14" s="10"/>
    </row>
    <row r="15" spans="1:18" ht="14" customHeight="1">
      <c r="A15" s="106"/>
      <c r="B15" s="106"/>
      <c r="C15" s="106"/>
      <c r="D15" s="123"/>
      <c r="E15" s="12"/>
      <c r="F15" s="12"/>
      <c r="G15" s="33"/>
      <c r="H15" s="10"/>
      <c r="I15" s="10"/>
      <c r="J15" s="10"/>
      <c r="K15" s="10"/>
      <c r="L15" s="10"/>
    </row>
    <row r="16" spans="1:18" ht="14" customHeight="1">
      <c r="A16" s="541" t="s">
        <v>110</v>
      </c>
      <c r="B16" s="541"/>
      <c r="C16" s="541"/>
      <c r="D16" s="541"/>
      <c r="E16" s="542">
        <f>C14+G14</f>
        <v>30000000</v>
      </c>
      <c r="F16" s="542"/>
      <c r="G16" s="542"/>
      <c r="H16" s="10"/>
      <c r="I16" s="10"/>
      <c r="J16" s="10"/>
      <c r="K16" s="10"/>
      <c r="L16" s="10"/>
    </row>
    <row r="17" spans="1:12" ht="14" customHeight="1">
      <c r="H17" s="10"/>
      <c r="I17" s="10"/>
      <c r="J17" s="10"/>
      <c r="K17" s="10"/>
      <c r="L17" s="10"/>
    </row>
    <row r="18" spans="1:12" ht="1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4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4" customHeight="1"/>
    <row r="25" spans="1:12" ht="16" customHeight="1"/>
    <row r="26" spans="1:12" ht="15" customHeight="1"/>
  </sheetData>
  <mergeCells count="3">
    <mergeCell ref="A1:L1"/>
    <mergeCell ref="A16:D16"/>
    <mergeCell ref="E16:G16"/>
  </mergeCells>
  <pageMargins left="0.7" right="0.7" top="0.75" bottom="0.75" header="0.3" footer="0.3"/>
  <pageSetup orientation="portrait" horizontalDpi="0" verticalDpi="0"/>
  <ignoredErrors>
    <ignoredError sqref="M10 M7 M8 M9" evalError="1"/>
    <ignoredError sqref="B4:C1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7533-5E20-F341-8881-FC00BF891121}">
  <sheetPr>
    <tabColor theme="7"/>
  </sheetPr>
  <dimension ref="A1:BJ29"/>
  <sheetViews>
    <sheetView showGridLines="0" zoomScaleNormal="100" workbookViewId="0">
      <selection sqref="A1:E1"/>
    </sheetView>
  </sheetViews>
  <sheetFormatPr baseColWidth="10" defaultColWidth="11.5" defaultRowHeight="13"/>
  <cols>
    <col min="1" max="1" width="3.5" customWidth="1"/>
    <col min="2" max="2" width="25.83203125" customWidth="1"/>
    <col min="3" max="5" width="14.5" customWidth="1"/>
  </cols>
  <sheetData>
    <row r="1" spans="1:62" s="144" customFormat="1" ht="20">
      <c r="A1" s="543" t="s">
        <v>266</v>
      </c>
      <c r="B1" s="543"/>
      <c r="C1" s="543"/>
      <c r="D1" s="543"/>
      <c r="E1" s="543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6"/>
      <c r="BJ1" s="396"/>
    </row>
    <row r="3" spans="1:62" ht="14">
      <c r="A3" s="397"/>
      <c r="B3" s="397"/>
      <c r="C3" s="544" t="s">
        <v>25</v>
      </c>
      <c r="D3" s="544"/>
      <c r="E3" s="544"/>
    </row>
    <row r="4" spans="1:62" ht="14">
      <c r="A4" s="398"/>
      <c r="B4" s="398"/>
      <c r="C4" s="399" t="s">
        <v>267</v>
      </c>
    </row>
    <row r="5" spans="1:62" ht="14">
      <c r="A5" s="84" t="s">
        <v>1</v>
      </c>
      <c r="B5" s="70"/>
      <c r="C5" s="400"/>
      <c r="D5" s="400"/>
      <c r="E5" s="400"/>
    </row>
    <row r="6" spans="1:62" ht="14">
      <c r="A6" s="70" t="s">
        <v>34</v>
      </c>
      <c r="B6" s="70"/>
      <c r="C6" s="253"/>
      <c r="D6" s="401"/>
      <c r="E6" s="400"/>
    </row>
    <row r="7" spans="1:62" ht="14">
      <c r="A7" s="70"/>
      <c r="B7" s="70" t="s">
        <v>2</v>
      </c>
      <c r="C7" s="402">
        <v>0</v>
      </c>
      <c r="D7" s="403"/>
      <c r="E7" s="400"/>
    </row>
    <row r="8" spans="1:62" ht="14">
      <c r="A8" s="70"/>
      <c r="B8" s="70" t="s">
        <v>90</v>
      </c>
      <c r="C8" s="402">
        <v>0</v>
      </c>
      <c r="D8" s="403"/>
      <c r="E8" s="400"/>
    </row>
    <row r="9" spans="1:62" ht="14">
      <c r="A9" s="70"/>
      <c r="B9" s="70" t="s">
        <v>4</v>
      </c>
      <c r="C9" s="402">
        <v>0</v>
      </c>
      <c r="D9" s="403"/>
      <c r="E9" s="400"/>
    </row>
    <row r="10" spans="1:62" ht="14">
      <c r="A10" s="70"/>
      <c r="B10" s="70" t="s">
        <v>91</v>
      </c>
      <c r="C10" s="402">
        <v>0</v>
      </c>
      <c r="D10" s="403"/>
      <c r="E10" s="400"/>
    </row>
    <row r="11" spans="1:62" ht="14">
      <c r="A11" s="70" t="s">
        <v>35</v>
      </c>
      <c r="B11" s="70"/>
      <c r="C11" s="404"/>
      <c r="D11" s="399" t="s">
        <v>272</v>
      </c>
      <c r="E11" s="400"/>
    </row>
    <row r="12" spans="1:62" ht="14">
      <c r="A12" s="70"/>
      <c r="B12" s="192" t="s">
        <v>269</v>
      </c>
      <c r="C12" s="402">
        <v>0</v>
      </c>
      <c r="D12" s="402">
        <v>1</v>
      </c>
      <c r="E12" s="400"/>
    </row>
    <row r="13" spans="1:62" ht="14">
      <c r="A13" s="70"/>
      <c r="B13" s="192" t="s">
        <v>179</v>
      </c>
      <c r="C13" s="402">
        <v>0</v>
      </c>
      <c r="D13" s="401"/>
      <c r="E13" s="400"/>
    </row>
    <row r="14" spans="1:62" ht="15" thickBot="1">
      <c r="A14" s="89" t="s">
        <v>17</v>
      </c>
      <c r="B14" s="255"/>
      <c r="C14" s="405">
        <f>SUM(C7:C13)</f>
        <v>0</v>
      </c>
      <c r="D14" s="401"/>
      <c r="E14" s="400"/>
    </row>
    <row r="15" spans="1:62" ht="14">
      <c r="A15" s="256"/>
      <c r="B15" s="256"/>
      <c r="C15" s="406"/>
      <c r="D15" s="401"/>
      <c r="E15" s="400"/>
    </row>
    <row r="16" spans="1:62" ht="14">
      <c r="A16" s="80" t="s">
        <v>3</v>
      </c>
      <c r="B16" s="259"/>
      <c r="C16" s="406"/>
      <c r="D16" s="401"/>
      <c r="E16" s="400"/>
    </row>
    <row r="17" spans="1:5" ht="14">
      <c r="A17" s="70" t="s">
        <v>36</v>
      </c>
      <c r="B17" s="70"/>
      <c r="C17" s="407"/>
      <c r="D17" s="401"/>
      <c r="E17" s="400"/>
    </row>
    <row r="18" spans="1:5" ht="14">
      <c r="A18" s="70"/>
      <c r="B18" s="70" t="s">
        <v>59</v>
      </c>
      <c r="C18" s="402">
        <v>0</v>
      </c>
      <c r="D18" s="403"/>
      <c r="E18" s="400"/>
    </row>
    <row r="19" spans="1:5" ht="14">
      <c r="A19" s="70" t="s">
        <v>187</v>
      </c>
      <c r="B19" s="70"/>
      <c r="C19" s="408"/>
      <c r="D19" s="399" t="s">
        <v>10</v>
      </c>
      <c r="E19" s="399" t="s">
        <v>268</v>
      </c>
    </row>
    <row r="20" spans="1:5" ht="14">
      <c r="A20" s="70"/>
      <c r="B20" s="70" t="s">
        <v>136</v>
      </c>
      <c r="C20" s="402">
        <v>0</v>
      </c>
      <c r="D20" s="409">
        <v>0</v>
      </c>
      <c r="E20" s="402">
        <v>1</v>
      </c>
    </row>
    <row r="21" spans="1:5" ht="14">
      <c r="A21" s="201" t="s">
        <v>189</v>
      </c>
      <c r="B21" s="201"/>
      <c r="C21" s="410">
        <f t="shared" ref="C21" si="0">SUM(C18:C20)</f>
        <v>0</v>
      </c>
      <c r="D21" s="401"/>
      <c r="E21" s="400"/>
    </row>
    <row r="22" spans="1:5" ht="14">
      <c r="A22" s="80" t="s">
        <v>5</v>
      </c>
      <c r="B22" s="259"/>
      <c r="C22" s="406"/>
      <c r="D22" s="401"/>
      <c r="E22" s="400"/>
    </row>
    <row r="23" spans="1:5" ht="14">
      <c r="A23" s="259"/>
      <c r="B23" s="259" t="s">
        <v>37</v>
      </c>
      <c r="C23" s="402">
        <v>0</v>
      </c>
      <c r="D23" s="403"/>
      <c r="E23" s="400"/>
    </row>
    <row r="24" spans="1:5" ht="14">
      <c r="A24" s="259"/>
      <c r="B24" s="259" t="s">
        <v>38</v>
      </c>
      <c r="C24" s="402">
        <v>0</v>
      </c>
      <c r="D24" s="403"/>
      <c r="E24" s="400"/>
    </row>
    <row r="25" spans="1:5" ht="14">
      <c r="A25" s="201" t="s">
        <v>39</v>
      </c>
      <c r="B25" s="201"/>
      <c r="C25" s="410">
        <f>SUM(C23:C24)</f>
        <v>0</v>
      </c>
      <c r="D25" s="401"/>
      <c r="E25" s="400"/>
    </row>
    <row r="26" spans="1:5" ht="15" thickBot="1">
      <c r="A26" s="89" t="s">
        <v>188</v>
      </c>
      <c r="B26" s="255"/>
      <c r="C26" s="405">
        <f t="shared" ref="C26" si="1">C25+C21</f>
        <v>0</v>
      </c>
      <c r="D26" s="400"/>
      <c r="E26" s="400"/>
    </row>
    <row r="27" spans="1:5">
      <c r="C27" s="408"/>
      <c r="D27" s="400"/>
      <c r="E27" s="400"/>
    </row>
    <row r="28" spans="1:5">
      <c r="C28" s="408"/>
      <c r="D28" s="400"/>
      <c r="E28" s="400"/>
    </row>
    <row r="29" spans="1:5" ht="14">
      <c r="A29" s="411" t="s">
        <v>270</v>
      </c>
      <c r="B29" s="412"/>
      <c r="C29" s="413">
        <f>C14-C26</f>
        <v>0</v>
      </c>
      <c r="D29" s="400"/>
      <c r="E29" s="400"/>
    </row>
  </sheetData>
  <mergeCells count="2">
    <mergeCell ref="A1:E1"/>
    <mergeCell ref="C3:E3"/>
  </mergeCells>
  <conditionalFormatting sqref="C29">
    <cfRule type="cellIs" dxfId="11" priority="1" operator="lessThan">
      <formula>0</formula>
    </cfRule>
    <cfRule type="cellIs" dxfId="10" priority="2" operator="greaterThan">
      <formula>0</formula>
    </cfRule>
    <cfRule type="cellIs" dxfId="9" priority="3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74375-6CA9-7E4B-AC06-26F60B91F8D5}">
  <sheetPr>
    <tabColor theme="7"/>
  </sheetPr>
  <dimension ref="A1:C19"/>
  <sheetViews>
    <sheetView showGridLines="0" zoomScaleNormal="100" workbookViewId="0"/>
  </sheetViews>
  <sheetFormatPr baseColWidth="10" defaultColWidth="11.5" defaultRowHeight="13"/>
  <cols>
    <col min="1" max="3" width="22.6640625" customWidth="1"/>
  </cols>
  <sheetData>
    <row r="1" spans="1:3" ht="20">
      <c r="A1" s="510" t="s">
        <v>204</v>
      </c>
      <c r="B1" s="511"/>
      <c r="C1" s="511"/>
    </row>
    <row r="2" spans="1:3" ht="14">
      <c r="A2" s="361" t="s">
        <v>245</v>
      </c>
      <c r="B2" s="361"/>
      <c r="C2" s="423"/>
    </row>
    <row r="3" spans="1:3" ht="14">
      <c r="A3" s="425" t="s">
        <v>246</v>
      </c>
      <c r="B3" s="362"/>
      <c r="C3" s="427">
        <f>IFERROR('Balance Sheet'!D20/('Balance Sheet'!D20+'Balance Sheet'!D23),0)</f>
        <v>0</v>
      </c>
    </row>
    <row r="4" spans="1:3" ht="14">
      <c r="A4" s="425" t="s">
        <v>247</v>
      </c>
      <c r="B4" s="363"/>
      <c r="C4" s="427">
        <f>1-C3</f>
        <v>1</v>
      </c>
    </row>
    <row r="5" spans="1:3" ht="14">
      <c r="A5" s="364" t="s">
        <v>248</v>
      </c>
      <c r="B5" s="364"/>
      <c r="C5" s="428">
        <f>C3/C4</f>
        <v>0</v>
      </c>
    </row>
    <row r="6" spans="1:3" ht="14">
      <c r="A6" s="424"/>
      <c r="B6" s="424"/>
      <c r="C6" s="429"/>
    </row>
    <row r="7" spans="1:3" ht="14">
      <c r="A7" s="361" t="s">
        <v>249</v>
      </c>
      <c r="B7" s="361"/>
      <c r="C7" s="429"/>
    </row>
    <row r="8" spans="1:3" ht="14">
      <c r="A8" s="425" t="s">
        <v>250</v>
      </c>
      <c r="B8" s="362"/>
      <c r="C8" s="427">
        <v>2.5000000000000001E-2</v>
      </c>
    </row>
    <row r="9" spans="1:3" ht="14">
      <c r="A9" s="425" t="s">
        <v>251</v>
      </c>
      <c r="B9" s="362"/>
      <c r="C9" s="427">
        <v>0.1</v>
      </c>
    </row>
    <row r="10" spans="1:3" ht="14">
      <c r="A10" s="425" t="s">
        <v>252</v>
      </c>
      <c r="B10" s="362"/>
      <c r="C10" s="427">
        <v>7.4999999999999997E-2</v>
      </c>
    </row>
    <row r="11" spans="1:3" ht="14">
      <c r="A11" s="426" t="s">
        <v>253</v>
      </c>
      <c r="B11" s="363"/>
      <c r="C11" s="430">
        <v>1.5</v>
      </c>
    </row>
    <row r="12" spans="1:3" ht="14">
      <c r="A12" s="364" t="s">
        <v>249</v>
      </c>
      <c r="B12" s="364"/>
      <c r="C12" s="431">
        <f>+C10+C8+C9*C11</f>
        <v>0.25</v>
      </c>
    </row>
    <row r="13" spans="1:3" ht="14">
      <c r="A13" s="424"/>
      <c r="B13" s="424"/>
      <c r="C13" s="429"/>
    </row>
    <row r="14" spans="1:3" ht="14">
      <c r="A14" s="361" t="s">
        <v>254</v>
      </c>
      <c r="B14" s="361"/>
      <c r="C14" s="429"/>
    </row>
    <row r="15" spans="1:3" ht="14">
      <c r="A15" s="362" t="s">
        <v>254</v>
      </c>
      <c r="B15" s="362"/>
      <c r="C15" s="427">
        <f>AVERAGE('6) Capital '!C24:C26)</f>
        <v>0</v>
      </c>
    </row>
    <row r="16" spans="1:3" ht="14">
      <c r="A16" s="363" t="s">
        <v>52</v>
      </c>
      <c r="B16" s="363"/>
      <c r="C16" s="427">
        <f>'2) Assumptions'!D18</f>
        <v>0.217</v>
      </c>
    </row>
    <row r="17" spans="1:3" ht="14">
      <c r="A17" s="364" t="s">
        <v>255</v>
      </c>
      <c r="B17" s="364"/>
      <c r="C17" s="428">
        <f>C15*(1-C16)</f>
        <v>0</v>
      </c>
    </row>
    <row r="18" spans="1:3" ht="14">
      <c r="A18" s="363"/>
      <c r="B18" s="363"/>
      <c r="C18" s="429"/>
    </row>
    <row r="19" spans="1:3" ht="14">
      <c r="A19" s="365" t="s">
        <v>204</v>
      </c>
      <c r="B19" s="365"/>
      <c r="C19" s="432">
        <f>(C12*C4)+(C17*C3)</f>
        <v>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1) Introducton</vt:lpstr>
      <vt:lpstr>2) Assumptions</vt:lpstr>
      <vt:lpstr>3) Projected Sales Forecast</vt:lpstr>
      <vt:lpstr>4) Operating Expenses</vt:lpstr>
      <vt:lpstr>5) Amortization of PPE</vt:lpstr>
      <vt:lpstr>6) Capital </vt:lpstr>
      <vt:lpstr>7) Summary Sources of Funding</vt:lpstr>
      <vt:lpstr>8) Opening Balance Sheet</vt:lpstr>
      <vt:lpstr>9) WACC</vt:lpstr>
      <vt:lpstr>Income Statement</vt:lpstr>
      <vt:lpstr>Balance Sheet</vt:lpstr>
      <vt:lpstr>Cash Flow</vt:lpstr>
      <vt:lpstr>Financial Highlights</vt:lpstr>
      <vt:lpstr>Use of Funds</vt:lpstr>
      <vt:lpstr>Sensitivity Analysis</vt:lpstr>
      <vt:lpstr>Break Even Analysis</vt:lpstr>
      <vt:lpstr>Ratio Analysis</vt:lpstr>
      <vt:lpstr>Loan Amortization Schedule</vt:lpstr>
      <vt:lpstr>Valuation</vt:lpstr>
      <vt:lpstr>IRR</vt:lpstr>
      <vt:lpstr>'3) Projected Sales Forecast'!Print_Titles</vt:lpstr>
      <vt:lpstr>'4) Operating Expenses'!Print_Titles</vt:lpstr>
      <vt:lpstr>'5) Amortization of PPE'!Print_Titles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Camillo Lento</dc:creator>
  <cp:lastModifiedBy>Microsoft Office User</cp:lastModifiedBy>
  <cp:lastPrinted>2018-07-23T12:48:59Z</cp:lastPrinted>
  <dcterms:created xsi:type="dcterms:W3CDTF">2004-02-18T03:32:50Z</dcterms:created>
  <dcterms:modified xsi:type="dcterms:W3CDTF">2022-06-19T17:02:00Z</dcterms:modified>
</cp:coreProperties>
</file>